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SOP\"/>
    </mc:Choice>
  </mc:AlternateContent>
  <bookViews>
    <workbookView xWindow="0" yWindow="0" windowWidth="20490" windowHeight="7650" activeTab="2"/>
  </bookViews>
  <sheets>
    <sheet name="A.1" sheetId="16" r:id="rId1"/>
    <sheet name="A.2" sheetId="17" r:id="rId2"/>
    <sheet name="A.3" sheetId="2" r:id="rId3"/>
    <sheet name="A.4" sheetId="10" r:id="rId4"/>
    <sheet name="A.5" sheetId="3" r:id="rId5"/>
    <sheet name="A.7" sheetId="4" r:id="rId6"/>
    <sheet name="A.9" sheetId="5" r:id="rId7"/>
    <sheet name="A.10 " sheetId="8" r:id="rId8"/>
    <sheet name="Sheet1" sheetId="6" r:id="rId9"/>
  </sheets>
  <externalReferences>
    <externalReference r:id="rId10"/>
    <externalReference r:id="rId11"/>
  </externalReferences>
  <definedNames>
    <definedName name="_xlnm.Print_Area" localSheetId="0">A.1!$A$1:$L$61</definedName>
    <definedName name="_xlnm.Print_Area" localSheetId="7">'A.10 '!$B$1:$O$152</definedName>
    <definedName name="_xlnm.Print_Area" localSheetId="1">A.2!$B$1:$O$80</definedName>
    <definedName name="_xlnm.Print_Area" localSheetId="3">A.4!$C$1:$P$714</definedName>
    <definedName name="_xlnm.Print_Area" localSheetId="4">A.5!$A$1:$T$1415</definedName>
    <definedName name="_xlnm.Print_Area" localSheetId="5">A.7!$A$3:$N$1186</definedName>
    <definedName name="_xlnm.Print_Area" localSheetId="6">A.9!$B$1:$H$194</definedName>
    <definedName name="_xlnm.Print_Titles" localSheetId="0">A.1!$9:$12</definedName>
    <definedName name="_xlnm.Print_Titles" localSheetId="7">'A.10 '!$9:$11</definedName>
    <definedName name="_xlnm.Print_Titles" localSheetId="1">A.2!$9:$12</definedName>
    <definedName name="_xlnm.Print_Titles" localSheetId="2">A.3!$12:$12</definedName>
    <definedName name="_xlnm.Print_Titles" localSheetId="3">A.4!$10:$12</definedName>
    <definedName name="_xlnm.Print_Titles" localSheetId="4">A.5!$9:$11</definedName>
    <definedName name="_xlnm.Print_Titles" localSheetId="5">A.7!$10:$12</definedName>
    <definedName name="_xlnm.Print_Titles" localSheetId="6">A.9!$11:$11</definedName>
  </definedNames>
  <calcPr calcId="162913"/>
</workbook>
</file>

<file path=xl/calcChain.xml><?xml version="1.0" encoding="utf-8"?>
<calcChain xmlns="http://schemas.openxmlformats.org/spreadsheetml/2006/main">
  <c r="G47" i="17" l="1"/>
  <c r="F5726" i="2"/>
  <c r="G348" i="10" l="1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E343" i="10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E46" i="17"/>
  <c r="G46" i="17" s="1"/>
  <c r="E68" i="17"/>
  <c r="G68" i="17" s="1"/>
  <c r="G52" i="17"/>
  <c r="G51" i="17"/>
  <c r="G50" i="17"/>
  <c r="G49" i="17"/>
  <c r="G48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E16" i="17"/>
  <c r="G16" i="17" s="1"/>
  <c r="I50" i="6"/>
  <c r="I55" i="6" s="1"/>
  <c r="I57" i="6" s="1"/>
  <c r="H41" i="6"/>
  <c r="H51" i="6"/>
  <c r="H60" i="6" s="1"/>
  <c r="H62" i="6" s="1"/>
  <c r="H9" i="6"/>
  <c r="H58" i="6" l="1"/>
  <c r="J50" i="16"/>
  <c r="K50" i="16" s="1"/>
  <c r="J49" i="16"/>
  <c r="K49" i="16" s="1"/>
  <c r="G49" i="16"/>
  <c r="E49" i="16"/>
  <c r="J48" i="16"/>
  <c r="K48" i="16" s="1"/>
  <c r="G48" i="16"/>
  <c r="H48" i="16" s="1"/>
  <c r="E48" i="16"/>
  <c r="J47" i="16"/>
  <c r="K47" i="16" s="1"/>
  <c r="G47" i="16"/>
  <c r="H47" i="16" s="1"/>
  <c r="E47" i="16"/>
  <c r="J46" i="16"/>
  <c r="K46" i="16" s="1"/>
  <c r="G46" i="16"/>
  <c r="H46" i="16" s="1"/>
  <c r="E46" i="16"/>
  <c r="J45" i="16"/>
  <c r="K45" i="16" s="1"/>
  <c r="G45" i="16"/>
  <c r="H45" i="16" s="1"/>
  <c r="E45" i="16"/>
  <c r="J44" i="16"/>
  <c r="K44" i="16" s="1"/>
  <c r="G44" i="16"/>
  <c r="H44" i="16" s="1"/>
  <c r="E44" i="16"/>
  <c r="J43" i="16"/>
  <c r="K43" i="16" s="1"/>
  <c r="G43" i="16"/>
  <c r="H43" i="16" s="1"/>
  <c r="E43" i="16"/>
  <c r="J42" i="16"/>
  <c r="K42" i="16" s="1"/>
  <c r="G42" i="16"/>
  <c r="H42" i="16" s="1"/>
  <c r="E42" i="16"/>
  <c r="J41" i="16"/>
  <c r="K41" i="16" s="1"/>
  <c r="H41" i="16"/>
  <c r="G41" i="16"/>
  <c r="E41" i="16"/>
  <c r="J40" i="16"/>
  <c r="K40" i="16" s="1"/>
  <c r="G40" i="16"/>
  <c r="H40" i="16" s="1"/>
  <c r="E40" i="16"/>
  <c r="J39" i="16"/>
  <c r="K39" i="16" s="1"/>
  <c r="H39" i="16"/>
  <c r="G39" i="16"/>
  <c r="E39" i="16"/>
  <c r="J38" i="16"/>
  <c r="K38" i="16" s="1"/>
  <c r="G38" i="16"/>
  <c r="H38" i="16" s="1"/>
  <c r="E38" i="16"/>
  <c r="J37" i="16"/>
  <c r="K37" i="16" s="1"/>
  <c r="H37" i="16"/>
  <c r="G37" i="16"/>
  <c r="E37" i="16"/>
  <c r="J36" i="16"/>
  <c r="K36" i="16" s="1"/>
  <c r="G36" i="16"/>
  <c r="H36" i="16" s="1"/>
  <c r="E36" i="16"/>
  <c r="J35" i="16"/>
  <c r="K35" i="16" s="1"/>
  <c r="H35" i="16"/>
  <c r="G35" i="16"/>
  <c r="E35" i="16"/>
  <c r="J34" i="16"/>
  <c r="K34" i="16" s="1"/>
  <c r="G34" i="16"/>
  <c r="H34" i="16" s="1"/>
  <c r="E34" i="16"/>
  <c r="J33" i="16"/>
  <c r="K33" i="16" s="1"/>
  <c r="H33" i="16"/>
  <c r="G33" i="16"/>
  <c r="E33" i="16"/>
  <c r="J32" i="16"/>
  <c r="K32" i="16" s="1"/>
  <c r="G32" i="16"/>
  <c r="H32" i="16" s="1"/>
  <c r="E32" i="16"/>
  <c r="J31" i="16"/>
  <c r="K31" i="16" s="1"/>
  <c r="H31" i="16"/>
  <c r="G31" i="16"/>
  <c r="E31" i="16"/>
  <c r="J30" i="16"/>
  <c r="K30" i="16" s="1"/>
  <c r="G30" i="16"/>
  <c r="H30" i="16" s="1"/>
  <c r="E30" i="16"/>
  <c r="J29" i="16"/>
  <c r="K29" i="16" s="1"/>
  <c r="H29" i="16"/>
  <c r="G29" i="16"/>
  <c r="E29" i="16"/>
  <c r="J28" i="16"/>
  <c r="K28" i="16" s="1"/>
  <c r="G28" i="16"/>
  <c r="H28" i="16" s="1"/>
  <c r="E28" i="16"/>
  <c r="J27" i="16"/>
  <c r="K27" i="16" s="1"/>
  <c r="H27" i="16"/>
  <c r="G27" i="16"/>
  <c r="E27" i="16"/>
  <c r="J26" i="16"/>
  <c r="K26" i="16" s="1"/>
  <c r="G26" i="16"/>
  <c r="H26" i="16" s="1"/>
  <c r="E26" i="16"/>
  <c r="J25" i="16"/>
  <c r="K25" i="16" s="1"/>
  <c r="H25" i="16"/>
  <c r="G25" i="16"/>
  <c r="E25" i="16"/>
  <c r="J24" i="16"/>
  <c r="K24" i="16" s="1"/>
  <c r="G24" i="16"/>
  <c r="H24" i="16" s="1"/>
  <c r="E24" i="16"/>
  <c r="J23" i="16"/>
  <c r="K23" i="16" s="1"/>
  <c r="H23" i="16"/>
  <c r="G23" i="16"/>
  <c r="E23" i="16"/>
  <c r="J22" i="16"/>
  <c r="K22" i="16" s="1"/>
  <c r="G22" i="16"/>
  <c r="H22" i="16" s="1"/>
  <c r="E22" i="16"/>
  <c r="J21" i="16"/>
  <c r="K21" i="16" s="1"/>
  <c r="H21" i="16"/>
  <c r="G21" i="16"/>
  <c r="E21" i="16"/>
  <c r="J20" i="16"/>
  <c r="K20" i="16" s="1"/>
  <c r="G20" i="16"/>
  <c r="H20" i="16" s="1"/>
  <c r="E20" i="16"/>
  <c r="J19" i="16"/>
  <c r="K19" i="16" s="1"/>
  <c r="H19" i="16"/>
  <c r="G19" i="16"/>
  <c r="E19" i="16"/>
  <c r="J18" i="16"/>
  <c r="K18" i="16" s="1"/>
  <c r="G18" i="16"/>
  <c r="H18" i="16" s="1"/>
  <c r="E18" i="16"/>
  <c r="J17" i="16"/>
  <c r="K17" i="16" s="1"/>
  <c r="H17" i="16"/>
  <c r="G17" i="16"/>
  <c r="E17" i="16"/>
  <c r="J16" i="16"/>
  <c r="K16" i="16" s="1"/>
  <c r="G16" i="16"/>
  <c r="H16" i="16" s="1"/>
  <c r="E16" i="16"/>
  <c r="J15" i="16"/>
  <c r="K15" i="16" s="1"/>
  <c r="H15" i="16"/>
  <c r="G15" i="16"/>
  <c r="E15" i="16"/>
  <c r="J14" i="16"/>
  <c r="K14" i="16" s="1"/>
  <c r="F14" i="16"/>
  <c r="F50" i="16" s="1"/>
  <c r="C14" i="16"/>
  <c r="C50" i="16" s="1"/>
  <c r="E50" i="16" s="1"/>
  <c r="J13" i="16"/>
  <c r="K13" i="16" s="1"/>
  <c r="G13" i="16"/>
  <c r="H13" i="16" s="1"/>
  <c r="E13" i="16"/>
  <c r="E14" i="16" l="1"/>
  <c r="G50" i="16"/>
  <c r="H50" i="16" s="1"/>
  <c r="G14" i="16"/>
  <c r="H14" i="16" s="1"/>
  <c r="H49" i="16"/>
  <c r="G713" i="10" l="1"/>
  <c r="G344" i="10"/>
  <c r="G345" i="10"/>
  <c r="G346" i="10"/>
  <c r="G347" i="10"/>
  <c r="G343" i="10"/>
  <c r="E333" i="10"/>
  <c r="F1291" i="3" l="1"/>
  <c r="D712" i="4" l="1"/>
  <c r="D710" i="4"/>
  <c r="D705" i="4"/>
  <c r="D704" i="4" s="1"/>
  <c r="D703" i="4" s="1"/>
  <c r="D707" i="4"/>
  <c r="G375" i="10" l="1"/>
  <c r="G376" i="10"/>
  <c r="G377" i="10"/>
  <c r="G378" i="10"/>
  <c r="G379" i="10"/>
  <c r="G380" i="10"/>
  <c r="G381" i="10"/>
  <c r="G382" i="10"/>
  <c r="G383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G403" i="10"/>
  <c r="G404" i="10"/>
  <c r="G405" i="10"/>
  <c r="G406" i="10"/>
  <c r="G407" i="10"/>
  <c r="G408" i="10"/>
  <c r="G409" i="10"/>
  <c r="G410" i="10"/>
  <c r="G411" i="10"/>
  <c r="G412" i="10"/>
  <c r="G413" i="10"/>
  <c r="G414" i="10"/>
  <c r="G415" i="10"/>
  <c r="G416" i="10"/>
  <c r="G417" i="10"/>
  <c r="G418" i="10"/>
  <c r="G421" i="10"/>
  <c r="G422" i="10"/>
  <c r="G423" i="10"/>
  <c r="G424" i="10"/>
  <c r="G425" i="10"/>
  <c r="G426" i="10"/>
  <c r="G427" i="10"/>
  <c r="G428" i="10"/>
  <c r="G429" i="10"/>
  <c r="G432" i="10"/>
  <c r="G433" i="10"/>
  <c r="G434" i="10"/>
  <c r="G435" i="10"/>
  <c r="G436" i="10"/>
  <c r="G437" i="10"/>
  <c r="G438" i="10"/>
  <c r="G439" i="10"/>
  <c r="G440" i="10"/>
  <c r="G441" i="10"/>
  <c r="G442" i="10"/>
  <c r="G443" i="10"/>
  <c r="G444" i="10"/>
  <c r="G445" i="10"/>
  <c r="G446" i="10"/>
  <c r="G447" i="10"/>
  <c r="G448" i="10"/>
  <c r="G449" i="10"/>
  <c r="G450" i="10"/>
  <c r="G451" i="10"/>
  <c r="G452" i="10"/>
  <c r="G453" i="10"/>
  <c r="G454" i="10"/>
  <c r="G455" i="10"/>
  <c r="G456" i="10"/>
  <c r="G457" i="10"/>
  <c r="G458" i="10"/>
  <c r="G459" i="10"/>
  <c r="G460" i="10"/>
  <c r="G461" i="10"/>
  <c r="G462" i="10"/>
  <c r="G463" i="10"/>
  <c r="G464" i="10"/>
  <c r="G465" i="10"/>
  <c r="G466" i="10"/>
  <c r="G467" i="10"/>
  <c r="G468" i="10"/>
  <c r="G469" i="10"/>
  <c r="G470" i="10"/>
  <c r="G472" i="10"/>
  <c r="G473" i="10"/>
  <c r="G474" i="10"/>
  <c r="G475" i="10"/>
  <c r="G476" i="10"/>
  <c r="G477" i="10"/>
  <c r="G478" i="10"/>
  <c r="G479" i="10"/>
  <c r="G480" i="10"/>
  <c r="G481" i="10"/>
  <c r="G482" i="10"/>
  <c r="G483" i="10"/>
  <c r="G484" i="10"/>
  <c r="G486" i="10"/>
  <c r="G487" i="10"/>
  <c r="G488" i="10"/>
  <c r="G489" i="10"/>
  <c r="G490" i="10"/>
  <c r="G491" i="10"/>
  <c r="G492" i="10"/>
  <c r="G493" i="10"/>
  <c r="G494" i="10"/>
  <c r="G495" i="10"/>
  <c r="G496" i="10"/>
  <c r="G497" i="10"/>
  <c r="G498" i="10"/>
  <c r="G499" i="10"/>
  <c r="G500" i="10"/>
  <c r="G501" i="10"/>
  <c r="G502" i="10"/>
  <c r="G503" i="10"/>
  <c r="G504" i="10"/>
  <c r="G505" i="10"/>
  <c r="G506" i="10"/>
  <c r="G507" i="10"/>
  <c r="G508" i="10"/>
  <c r="G510" i="10"/>
  <c r="G511" i="10"/>
  <c r="G512" i="10"/>
  <c r="G514" i="10"/>
  <c r="G515" i="10"/>
  <c r="G516" i="10"/>
  <c r="G518" i="10"/>
  <c r="G519" i="10"/>
  <c r="G520" i="10"/>
  <c r="G521" i="10"/>
  <c r="G522" i="10"/>
  <c r="G523" i="10"/>
  <c r="G524" i="10"/>
  <c r="G525" i="10"/>
  <c r="G527" i="10"/>
  <c r="G528" i="10"/>
  <c r="G529" i="10"/>
  <c r="G530" i="10"/>
  <c r="G531" i="10"/>
  <c r="G532" i="10"/>
  <c r="G534" i="10"/>
  <c r="G535" i="10"/>
  <c r="G536" i="10"/>
  <c r="G537" i="10"/>
  <c r="G538" i="10"/>
  <c r="G539" i="10"/>
  <c r="G540" i="10"/>
  <c r="G541" i="10"/>
  <c r="G542" i="10"/>
  <c r="G543" i="10"/>
  <c r="G544" i="10"/>
  <c r="G545" i="10"/>
  <c r="G546" i="10"/>
  <c r="G547" i="10"/>
  <c r="G548" i="10"/>
  <c r="G549" i="10"/>
  <c r="G550" i="10"/>
  <c r="G551" i="10"/>
  <c r="G552" i="10"/>
  <c r="G553" i="10"/>
  <c r="G554" i="10"/>
  <c r="G555" i="10"/>
  <c r="G556" i="10"/>
  <c r="G557" i="10"/>
  <c r="G558" i="10"/>
  <c r="G559" i="10"/>
  <c r="G560" i="10"/>
  <c r="G561" i="10"/>
  <c r="G562" i="10"/>
  <c r="G563" i="10"/>
  <c r="G564" i="10"/>
  <c r="G565" i="10"/>
  <c r="G566" i="10"/>
  <c r="G567" i="10"/>
  <c r="G568" i="10"/>
  <c r="G569" i="10"/>
  <c r="G570" i="10"/>
  <c r="G571" i="10"/>
  <c r="G573" i="10"/>
  <c r="G574" i="10"/>
  <c r="G575" i="10"/>
  <c r="G576" i="10"/>
  <c r="G577" i="10"/>
  <c r="G578" i="10"/>
  <c r="G579" i="10"/>
  <c r="G580" i="10"/>
  <c r="G581" i="10"/>
  <c r="G582" i="10"/>
  <c r="G584" i="10"/>
  <c r="G585" i="10"/>
  <c r="G586" i="10"/>
  <c r="G587" i="10"/>
  <c r="G588" i="10"/>
  <c r="G589" i="10"/>
  <c r="G590" i="10"/>
  <c r="G591" i="10"/>
  <c r="G592" i="10"/>
  <c r="G593" i="10"/>
  <c r="G594" i="10"/>
  <c r="G595" i="10"/>
  <c r="G596" i="10"/>
  <c r="G597" i="10"/>
  <c r="G598" i="10"/>
  <c r="G599" i="10"/>
  <c r="G600" i="10"/>
  <c r="G601" i="10"/>
  <c r="G602" i="10"/>
  <c r="G605" i="10"/>
  <c r="G606" i="10"/>
  <c r="G607" i="10"/>
  <c r="G608" i="10"/>
  <c r="G609" i="10"/>
  <c r="G611" i="10"/>
  <c r="G612" i="10"/>
  <c r="G613" i="10"/>
  <c r="G614" i="10"/>
  <c r="G615" i="10"/>
  <c r="G616" i="10"/>
  <c r="G617" i="10"/>
  <c r="G618" i="10"/>
  <c r="G619" i="10"/>
  <c r="G621" i="10"/>
  <c r="G622" i="10"/>
  <c r="G623" i="10"/>
  <c r="G625" i="10"/>
  <c r="G626" i="10"/>
  <c r="G627" i="10"/>
  <c r="G628" i="10"/>
  <c r="G629" i="10"/>
  <c r="G630" i="10"/>
  <c r="G631" i="10"/>
  <c r="G632" i="10"/>
  <c r="G633" i="10"/>
  <c r="G634" i="10"/>
  <c r="G637" i="10"/>
  <c r="G639" i="10"/>
  <c r="G641" i="10"/>
  <c r="G642" i="10"/>
  <c r="G644" i="10"/>
  <c r="G645" i="10"/>
  <c r="G646" i="10"/>
  <c r="G648" i="10"/>
  <c r="G649" i="10"/>
  <c r="G650" i="10"/>
  <c r="G651" i="10"/>
  <c r="G652" i="10"/>
  <c r="G653" i="10"/>
  <c r="G654" i="10"/>
  <c r="G655" i="10"/>
  <c r="G656" i="10"/>
  <c r="G657" i="10"/>
  <c r="G658" i="10"/>
  <c r="G660" i="10"/>
  <c r="G661" i="10"/>
  <c r="G662" i="10"/>
  <c r="G663" i="10"/>
  <c r="G664" i="10"/>
  <c r="G665" i="10"/>
  <c r="G666" i="10"/>
  <c r="G667" i="10"/>
  <c r="G668" i="10"/>
  <c r="G669" i="10"/>
  <c r="G670" i="10"/>
  <c r="G671" i="10"/>
  <c r="G672" i="10"/>
  <c r="G673" i="10"/>
  <c r="G674" i="10"/>
  <c r="G675" i="10"/>
  <c r="G676" i="10"/>
  <c r="G677" i="10"/>
  <c r="G678" i="10"/>
  <c r="G679" i="10"/>
  <c r="G680" i="10"/>
  <c r="G681" i="10"/>
  <c r="G682" i="10"/>
  <c r="G683" i="10"/>
  <c r="G684" i="10"/>
  <c r="G685" i="10"/>
  <c r="G686" i="10"/>
  <c r="G687" i="10"/>
  <c r="G688" i="10"/>
  <c r="G689" i="10"/>
  <c r="G690" i="10"/>
  <c r="G691" i="10"/>
  <c r="G692" i="10"/>
  <c r="G693" i="10"/>
  <c r="G694" i="10"/>
  <c r="G695" i="10"/>
  <c r="G696" i="10"/>
  <c r="G697" i="10"/>
  <c r="G698" i="10"/>
  <c r="G699" i="10"/>
  <c r="G702" i="10"/>
  <c r="G704" i="10"/>
  <c r="G705" i="10"/>
  <c r="G707" i="10"/>
  <c r="G712" i="10"/>
  <c r="E711" i="10" l="1"/>
  <c r="E706" i="10"/>
  <c r="G706" i="10" s="1"/>
  <c r="E703" i="10"/>
  <c r="G703" i="10" s="1"/>
  <c r="E701" i="10"/>
  <c r="G701" i="10" s="1"/>
  <c r="E659" i="10"/>
  <c r="G659" i="10" s="1"/>
  <c r="E647" i="10"/>
  <c r="G647" i="10" s="1"/>
  <c r="E643" i="10"/>
  <c r="G643" i="10" s="1"/>
  <c r="E636" i="10"/>
  <c r="G636" i="10" s="1"/>
  <c r="E638" i="10"/>
  <c r="G638" i="10" s="1"/>
  <c r="E640" i="10"/>
  <c r="G640" i="10" s="1"/>
  <c r="E624" i="10"/>
  <c r="G624" i="10" s="1"/>
  <c r="E620" i="10"/>
  <c r="G620" i="10" s="1"/>
  <c r="E610" i="10"/>
  <c r="G610" i="10" s="1"/>
  <c r="E604" i="10"/>
  <c r="E583" i="10"/>
  <c r="G583" i="10" s="1"/>
  <c r="E572" i="10"/>
  <c r="G572" i="10" s="1"/>
  <c r="E533" i="10"/>
  <c r="G533" i="10" s="1"/>
  <c r="E526" i="10"/>
  <c r="G526" i="10" s="1"/>
  <c r="E517" i="10"/>
  <c r="G517" i="10" s="1"/>
  <c r="E513" i="10"/>
  <c r="G513" i="10" s="1"/>
  <c r="E509" i="10"/>
  <c r="G509" i="10" s="1"/>
  <c r="E485" i="10"/>
  <c r="G485" i="10" s="1"/>
  <c r="E471" i="10"/>
  <c r="G471" i="10" s="1"/>
  <c r="E431" i="10"/>
  <c r="G431" i="10" s="1"/>
  <c r="E420" i="10"/>
  <c r="G420" i="10" s="1"/>
  <c r="E374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4" i="10"/>
  <c r="G165" i="10"/>
  <c r="G166" i="10"/>
  <c r="G167" i="10"/>
  <c r="G168" i="10"/>
  <c r="G169" i="10"/>
  <c r="G170" i="10"/>
  <c r="G171" i="10"/>
  <c r="G172" i="10"/>
  <c r="G173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6" i="10"/>
  <c r="G197" i="10"/>
  <c r="G198" i="10"/>
  <c r="G199" i="10"/>
  <c r="G200" i="10"/>
  <c r="G201" i="10"/>
  <c r="G202" i="10"/>
  <c r="G203" i="10"/>
  <c r="G204" i="10"/>
  <c r="G205" i="10"/>
  <c r="G207" i="10"/>
  <c r="G208" i="10"/>
  <c r="G209" i="10"/>
  <c r="G210" i="10"/>
  <c r="G211" i="10"/>
  <c r="G212" i="10"/>
  <c r="G213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6" i="10"/>
  <c r="G318" i="10"/>
  <c r="G319" i="10"/>
  <c r="G320" i="10"/>
  <c r="G323" i="10"/>
  <c r="G324" i="10"/>
  <c r="G325" i="10"/>
  <c r="G326" i="10"/>
  <c r="G328" i="10"/>
  <c r="G329" i="10"/>
  <c r="G333" i="10"/>
  <c r="G334" i="10"/>
  <c r="G339" i="10"/>
  <c r="G340" i="10"/>
  <c r="G341" i="10"/>
  <c r="E338" i="10"/>
  <c r="E337" i="10" s="1"/>
  <c r="G337" i="10" s="1"/>
  <c r="E332" i="10"/>
  <c r="E331" i="10" s="1"/>
  <c r="G331" i="10" s="1"/>
  <c r="E327" i="10"/>
  <c r="G327" i="10" s="1"/>
  <c r="E322" i="10"/>
  <c r="G322" i="10" s="1"/>
  <c r="E317" i="10"/>
  <c r="E315" i="10"/>
  <c r="G315" i="10" s="1"/>
  <c r="E301" i="10"/>
  <c r="E300" i="10" s="1"/>
  <c r="G300" i="10" s="1"/>
  <c r="E285" i="10"/>
  <c r="G285" i="10" s="1"/>
  <c r="E266" i="10"/>
  <c r="G266" i="10" s="1"/>
  <c r="E250" i="10"/>
  <c r="G250" i="10" s="1"/>
  <c r="E230" i="10"/>
  <c r="G230" i="10" s="1"/>
  <c r="E215" i="10"/>
  <c r="G215" i="10" s="1"/>
  <c r="E206" i="10"/>
  <c r="G206" i="10" s="1"/>
  <c r="E195" i="10"/>
  <c r="G195" i="10" s="1"/>
  <c r="E174" i="10"/>
  <c r="G174" i="10" s="1"/>
  <c r="E163" i="10"/>
  <c r="G163" i="10" s="1"/>
  <c r="E148" i="10"/>
  <c r="G148" i="10" s="1"/>
  <c r="E133" i="10"/>
  <c r="G133" i="10" s="1"/>
  <c r="E39" i="10"/>
  <c r="G39" i="10" s="1"/>
  <c r="E17" i="10"/>
  <c r="E16" i="10" s="1"/>
  <c r="G16" i="10" s="1"/>
  <c r="F151" i="8"/>
  <c r="F150" i="8"/>
  <c r="D149" i="8"/>
  <c r="F149" i="8" s="1"/>
  <c r="F147" i="8"/>
  <c r="F146" i="8"/>
  <c r="D145" i="8"/>
  <c r="F145" i="8" s="1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D130" i="8"/>
  <c r="F130" i="8" s="1"/>
  <c r="F129" i="8"/>
  <c r="F128" i="8"/>
  <c r="F127" i="8"/>
  <c r="F126" i="8"/>
  <c r="F125" i="8"/>
  <c r="F124" i="8"/>
  <c r="F123" i="8"/>
  <c r="F122" i="8"/>
  <c r="F121" i="8"/>
  <c r="F120" i="8"/>
  <c r="D119" i="8"/>
  <c r="F119" i="8" s="1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D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D14" i="8"/>
  <c r="D13" i="8" s="1"/>
  <c r="F84" i="8" l="1"/>
  <c r="G374" i="10"/>
  <c r="E603" i="10"/>
  <c r="G603" i="10" s="1"/>
  <c r="G604" i="10"/>
  <c r="E710" i="10"/>
  <c r="G711" i="10"/>
  <c r="E700" i="10"/>
  <c r="G700" i="10" s="1"/>
  <c r="E635" i="10"/>
  <c r="G635" i="10" s="1"/>
  <c r="G332" i="10"/>
  <c r="E314" i="10"/>
  <c r="G314" i="10" s="1"/>
  <c r="G338" i="10"/>
  <c r="E321" i="10"/>
  <c r="G321" i="10" s="1"/>
  <c r="G317" i="10"/>
  <c r="G301" i="10"/>
  <c r="G17" i="10"/>
  <c r="E330" i="10"/>
  <c r="G330" i="10" s="1"/>
  <c r="D152" i="8"/>
  <c r="F152" i="8" s="1"/>
  <c r="F14" i="8"/>
  <c r="F13" i="8"/>
  <c r="E373" i="10" l="1"/>
  <c r="G373" i="10" s="1"/>
  <c r="E709" i="10"/>
  <c r="G709" i="10" s="1"/>
  <c r="G710" i="10"/>
  <c r="E15" i="10"/>
  <c r="G4190" i="2"/>
  <c r="F4171" i="2"/>
  <c r="G4171" i="2" s="1"/>
  <c r="F4166" i="2"/>
  <c r="F5432" i="2"/>
  <c r="H5301" i="2"/>
  <c r="F3839" i="2"/>
  <c r="F3838" i="2"/>
  <c r="F3837" i="2"/>
  <c r="H3783" i="2"/>
  <c r="G1674" i="2"/>
  <c r="G1673" i="2"/>
  <c r="G647" i="2"/>
  <c r="E15" i="17" l="1"/>
  <c r="E714" i="10"/>
  <c r="G15" i="10"/>
  <c r="F714" i="10"/>
  <c r="G714" i="10" s="1"/>
  <c r="F4734" i="2"/>
  <c r="F4727" i="2"/>
  <c r="F3258" i="2"/>
  <c r="F2901" i="2"/>
  <c r="F2908" i="2"/>
  <c r="F2907" i="2"/>
  <c r="E69" i="17" l="1"/>
  <c r="G69" i="17" s="1"/>
  <c r="G15" i="17"/>
  <c r="E334" i="4"/>
  <c r="E335" i="4"/>
  <c r="D333" i="4"/>
  <c r="D332" i="4" s="1"/>
  <c r="E332" i="4" s="1"/>
  <c r="D316" i="4"/>
  <c r="D326" i="4"/>
  <c r="E333" i="4" l="1"/>
  <c r="F1130" i="4"/>
  <c r="E1129" i="4"/>
  <c r="E1128" i="4" s="1"/>
  <c r="D1129" i="4"/>
  <c r="D1128" i="4" s="1"/>
  <c r="F1126" i="4"/>
  <c r="F1125" i="4"/>
  <c r="E1124" i="4"/>
  <c r="D1124" i="4"/>
  <c r="F1123" i="4"/>
  <c r="F1122" i="4"/>
  <c r="F1121" i="4"/>
  <c r="F1120" i="4"/>
  <c r="E1119" i="4"/>
  <c r="D1119" i="4"/>
  <c r="F1118" i="4"/>
  <c r="F1117" i="4"/>
  <c r="E1116" i="4"/>
  <c r="D1116" i="4"/>
  <c r="F1115" i="4"/>
  <c r="F1114" i="4"/>
  <c r="F1113" i="4"/>
  <c r="F1112" i="4"/>
  <c r="F1111" i="4"/>
  <c r="F1110" i="4"/>
  <c r="E1109" i="4"/>
  <c r="D1109" i="4"/>
  <c r="F1108" i="4"/>
  <c r="F1107" i="4"/>
  <c r="F1106" i="4"/>
  <c r="F1105" i="4"/>
  <c r="E1104" i="4"/>
  <c r="D1104" i="4"/>
  <c r="F1103" i="4"/>
  <c r="E1102" i="4"/>
  <c r="D1102" i="4"/>
  <c r="F1109" i="4" l="1"/>
  <c r="F1116" i="4"/>
  <c r="D1101" i="4"/>
  <c r="D1100" i="4" s="1"/>
  <c r="F1104" i="4"/>
  <c r="F1124" i="4"/>
  <c r="F1128" i="4"/>
  <c r="E1101" i="4"/>
  <c r="F1119" i="4"/>
  <c r="F1129" i="4"/>
  <c r="F1102" i="4"/>
  <c r="F1101" i="4" l="1"/>
  <c r="E1100" i="4"/>
  <c r="D180" i="4"/>
  <c r="E99" i="4"/>
  <c r="E101" i="4"/>
  <c r="E104" i="4"/>
  <c r="E108" i="4"/>
  <c r="C179" i="3"/>
  <c r="D162" i="3"/>
  <c r="C219" i="3"/>
  <c r="C194" i="3"/>
  <c r="C190" i="3"/>
  <c r="C186" i="3"/>
  <c r="C182" i="3"/>
  <c r="C173" i="3"/>
  <c r="C175" i="3"/>
  <c r="C162" i="3"/>
  <c r="C152" i="3"/>
  <c r="C69" i="3"/>
  <c r="C61" i="3"/>
  <c r="C32" i="3"/>
  <c r="C138" i="3"/>
  <c r="C142" i="3"/>
  <c r="F757" i="3"/>
  <c r="D758" i="3"/>
  <c r="D757" i="3" s="1"/>
  <c r="D754" i="3" s="1"/>
  <c r="C172" i="3" l="1"/>
  <c r="C178" i="3"/>
  <c r="E758" i="3"/>
  <c r="E757" i="3" s="1"/>
  <c r="H3841" i="2" l="1"/>
  <c r="F3907" i="2"/>
  <c r="F3878" i="2"/>
  <c r="F3865" i="2"/>
  <c r="C1012" i="3"/>
  <c r="C1011" i="3" s="1"/>
  <c r="D1014" i="3"/>
  <c r="D1013" i="3" s="1"/>
  <c r="D1016" i="3"/>
  <c r="D1017" i="3"/>
  <c r="D1019" i="3"/>
  <c r="D1020" i="3"/>
  <c r="D1021" i="3"/>
  <c r="D1022" i="3"/>
  <c r="D1024" i="3"/>
  <c r="D1023" i="3" s="1"/>
  <c r="D1026" i="3"/>
  <c r="D1025" i="3" s="1"/>
  <c r="D1028" i="3"/>
  <c r="D1029" i="3"/>
  <c r="D1031" i="3"/>
  <c r="D1032" i="3"/>
  <c r="D1034" i="3"/>
  <c r="D1035" i="3"/>
  <c r="C973" i="3"/>
  <c r="E1009" i="3"/>
  <c r="D1008" i="3"/>
  <c r="D1007" i="3" s="1"/>
  <c r="E1007" i="3" s="1"/>
  <c r="D773" i="3"/>
  <c r="D777" i="3"/>
  <c r="C782" i="3"/>
  <c r="C779" i="3"/>
  <c r="C771" i="3"/>
  <c r="C764" i="3"/>
  <c r="C762" i="3"/>
  <c r="D1033" i="3" l="1"/>
  <c r="E3842" i="2"/>
  <c r="D1027" i="3"/>
  <c r="D1030" i="3"/>
  <c r="D1015" i="3"/>
  <c r="D1018" i="3"/>
  <c r="E1008" i="3"/>
  <c r="C761" i="3"/>
  <c r="D1012" i="3" l="1"/>
  <c r="D1011" i="3" s="1"/>
  <c r="D741" i="3" l="1"/>
  <c r="D728" i="3"/>
  <c r="D737" i="3" l="1"/>
  <c r="C757" i="3"/>
  <c r="C755" i="3"/>
  <c r="C673" i="3"/>
  <c r="C675" i="3"/>
  <c r="D675" i="3"/>
  <c r="F675" i="3"/>
  <c r="C669" i="3"/>
  <c r="C682" i="3"/>
  <c r="D460" i="3"/>
  <c r="C354" i="3"/>
  <c r="C311" i="3"/>
  <c r="F4698" i="2"/>
  <c r="F4695" i="2" s="1"/>
  <c r="F4778" i="2"/>
  <c r="F4715" i="2"/>
  <c r="F4703" i="2"/>
  <c r="F4681" i="2"/>
  <c r="F4679" i="2" s="1"/>
  <c r="H4791" i="2"/>
  <c r="F4841" i="2"/>
  <c r="F4840" i="2" s="1"/>
  <c r="F4845" i="2"/>
  <c r="F4844" i="2" s="1"/>
  <c r="F4849" i="2"/>
  <c r="F4848" i="2" s="1"/>
  <c r="G4842" i="2"/>
  <c r="H4842" i="2" s="1"/>
  <c r="F4836" i="2"/>
  <c r="F4835" i="2" s="1"/>
  <c r="F4825" i="2"/>
  <c r="F4823" i="2"/>
  <c r="F4819" i="2"/>
  <c r="F4818" i="2" s="1"/>
  <c r="F4810" i="2"/>
  <c r="F4809" i="2" s="1"/>
  <c r="F4805" i="2"/>
  <c r="F4804" i="2" s="1"/>
  <c r="F4795" i="2"/>
  <c r="F4793" i="2"/>
  <c r="F4786" i="2"/>
  <c r="F4783" i="2"/>
  <c r="F4775" i="2"/>
  <c r="F4684" i="2"/>
  <c r="F4692" i="2"/>
  <c r="F4712" i="2"/>
  <c r="F4771" i="2"/>
  <c r="F4770" i="2" s="1"/>
  <c r="F4802" i="2"/>
  <c r="F4801" i="2" s="1"/>
  <c r="F4800" i="2" s="1"/>
  <c r="F4762" i="2"/>
  <c r="F4765" i="2"/>
  <c r="F4767" i="2"/>
  <c r="F4782" i="2" l="1"/>
  <c r="F4822" i="2"/>
  <c r="F4764" i="2"/>
  <c r="G4764" i="2" s="1"/>
  <c r="H4764" i="2" s="1"/>
  <c r="G4772" i="2"/>
  <c r="H4772" i="2" s="1"/>
  <c r="E675" i="3"/>
  <c r="C754" i="3"/>
  <c r="E754" i="3" s="1"/>
  <c r="F754" i="3" s="1"/>
  <c r="F4792" i="2"/>
  <c r="F4678" i="2"/>
  <c r="F4677" i="2" s="1"/>
  <c r="F4746" i="2" l="1"/>
  <c r="F4676" i="2" s="1"/>
  <c r="E4207" i="2" l="1"/>
  <c r="H683" i="2"/>
  <c r="H681" i="2"/>
  <c r="H676" i="2"/>
  <c r="H671" i="2"/>
  <c r="H670" i="2" s="1"/>
  <c r="H642" i="2"/>
  <c r="H640" i="2"/>
  <c r="H632" i="2"/>
  <c r="H627" i="2"/>
  <c r="H624" i="2" s="1"/>
  <c r="H621" i="2"/>
  <c r="H589" i="2"/>
  <c r="H592" i="2"/>
  <c r="H583" i="2"/>
  <c r="H575" i="2"/>
  <c r="H570" i="2"/>
  <c r="H566" i="2"/>
  <c r="H556" i="2"/>
  <c r="H555" i="2" s="1"/>
  <c r="H675" i="2" l="1"/>
  <c r="H549" i="2"/>
  <c r="H540" i="2"/>
  <c r="H522" i="2"/>
  <c r="H517" i="2"/>
  <c r="H495" i="2"/>
  <c r="H463" i="2"/>
  <c r="H446" i="2"/>
  <c r="H459" i="2"/>
  <c r="H456" i="2"/>
  <c r="H453" i="2"/>
  <c r="H448" i="2"/>
  <c r="H440" i="2"/>
  <c r="H426" i="2"/>
  <c r="H421" i="2"/>
  <c r="H415" i="2"/>
  <c r="H410" i="2"/>
  <c r="H378" i="2"/>
  <c r="H353" i="2"/>
  <c r="H349" i="2"/>
  <c r="H346" i="2"/>
  <c r="H331" i="2"/>
  <c r="H328" i="2"/>
  <c r="H319" i="2"/>
  <c r="H324" i="2"/>
  <c r="H317" i="2"/>
  <c r="H312" i="2"/>
  <c r="H301" i="2"/>
  <c r="H297" i="2"/>
  <c r="H292" i="2"/>
  <c r="H227" i="2"/>
  <c r="H224" i="2"/>
  <c r="H221" i="2"/>
  <c r="H217" i="2"/>
  <c r="H209" i="2"/>
  <c r="H200" i="2"/>
  <c r="H194" i="2"/>
  <c r="H179" i="2"/>
  <c r="H177" i="2"/>
  <c r="H170" i="2"/>
  <c r="H168" i="2"/>
  <c r="H156" i="2"/>
  <c r="H152" i="2"/>
  <c r="H148" i="2"/>
  <c r="H137" i="2"/>
  <c r="H133" i="2"/>
  <c r="H129" i="2"/>
  <c r="H117" i="2"/>
  <c r="H110" i="2"/>
  <c r="H103" i="2"/>
  <c r="H101" i="2"/>
  <c r="H91" i="2"/>
  <c r="H88" i="2"/>
  <c r="H86" i="2"/>
  <c r="F58" i="2"/>
  <c r="H5587" i="2"/>
  <c r="H5567" i="2"/>
  <c r="H5557" i="2"/>
  <c r="H5341" i="2"/>
  <c r="H4716" i="2"/>
  <c r="E4746" i="2"/>
  <c r="H4520" i="2"/>
  <c r="H4188" i="2"/>
  <c r="G4191" i="2"/>
  <c r="H4180" i="2"/>
  <c r="H4179" i="2" s="1"/>
  <c r="H4166" i="2"/>
  <c r="H4163" i="2"/>
  <c r="G4134" i="2"/>
  <c r="H4118" i="2"/>
  <c r="H4064" i="2"/>
  <c r="H4063" i="2" s="1"/>
  <c r="H4060" i="2"/>
  <c r="H4059" i="2" s="1"/>
  <c r="H4056" i="2"/>
  <c r="H4054" i="2"/>
  <c r="H4050" i="2"/>
  <c r="H4048" i="2"/>
  <c r="H4037" i="2"/>
  <c r="H345" i="2" l="1"/>
  <c r="H311" i="2"/>
  <c r="H216" i="2"/>
  <c r="H197" i="2"/>
  <c r="H1581" i="2"/>
  <c r="F192" i="5" l="1"/>
  <c r="G192" i="5" s="1"/>
  <c r="E191" i="5"/>
  <c r="D191" i="5"/>
  <c r="E190" i="5"/>
  <c r="G189" i="5"/>
  <c r="F188" i="5"/>
  <c r="G188" i="5" s="1"/>
  <c r="F187" i="5"/>
  <c r="G187" i="5" s="1"/>
  <c r="E186" i="5"/>
  <c r="D186" i="5"/>
  <c r="D185" i="5" s="1"/>
  <c r="G184" i="5"/>
  <c r="F183" i="5"/>
  <c r="G183" i="5" s="1"/>
  <c r="F182" i="5"/>
  <c r="G182" i="5" s="1"/>
  <c r="F181" i="5"/>
  <c r="G181" i="5" s="1"/>
  <c r="F180" i="5"/>
  <c r="G180" i="5" s="1"/>
  <c r="F179" i="5"/>
  <c r="G179" i="5" s="1"/>
  <c r="F178" i="5"/>
  <c r="G178" i="5" s="1"/>
  <c r="F177" i="5"/>
  <c r="G177" i="5" s="1"/>
  <c r="F176" i="5"/>
  <c r="G176" i="5" s="1"/>
  <c r="F175" i="5"/>
  <c r="G175" i="5" s="1"/>
  <c r="F174" i="5"/>
  <c r="G174" i="5" s="1"/>
  <c r="F173" i="5"/>
  <c r="G173" i="5" s="1"/>
  <c r="F172" i="5"/>
  <c r="G172" i="5" s="1"/>
  <c r="F171" i="5"/>
  <c r="G171" i="5" s="1"/>
  <c r="F170" i="5"/>
  <c r="G170" i="5" s="1"/>
  <c r="F169" i="5"/>
  <c r="G169" i="5" s="1"/>
  <c r="F168" i="5"/>
  <c r="G168" i="5" s="1"/>
  <c r="F167" i="5"/>
  <c r="G167" i="5" s="1"/>
  <c r="F166" i="5"/>
  <c r="G166" i="5" s="1"/>
  <c r="F165" i="5"/>
  <c r="G165" i="5" s="1"/>
  <c r="E164" i="5"/>
  <c r="D164" i="5"/>
  <c r="G163" i="5"/>
  <c r="F162" i="5"/>
  <c r="G162" i="5" s="1"/>
  <c r="F161" i="5"/>
  <c r="G161" i="5" s="1"/>
  <c r="F160" i="5"/>
  <c r="G160" i="5" s="1"/>
  <c r="F159" i="5"/>
  <c r="G159" i="5" s="1"/>
  <c r="F158" i="5"/>
  <c r="G158" i="5" s="1"/>
  <c r="F157" i="5"/>
  <c r="G157" i="5" s="1"/>
  <c r="F156" i="5"/>
  <c r="G156" i="5" s="1"/>
  <c r="F155" i="5"/>
  <c r="G155" i="5" s="1"/>
  <c r="F154" i="5"/>
  <c r="G154" i="5" s="1"/>
  <c r="F153" i="5"/>
  <c r="G153" i="5" s="1"/>
  <c r="F152" i="5"/>
  <c r="G152" i="5" s="1"/>
  <c r="F151" i="5"/>
  <c r="G151" i="5" s="1"/>
  <c r="F150" i="5"/>
  <c r="G150" i="5" s="1"/>
  <c r="E149" i="5"/>
  <c r="D149" i="5"/>
  <c r="F147" i="5"/>
  <c r="G147" i="5" s="1"/>
  <c r="F146" i="5"/>
  <c r="G146" i="5" s="1"/>
  <c r="F145" i="5"/>
  <c r="G145" i="5" s="1"/>
  <c r="D144" i="5"/>
  <c r="F144" i="5" s="1"/>
  <c r="G144" i="5" s="1"/>
  <c r="F143" i="5"/>
  <c r="G143" i="5" s="1"/>
  <c r="D142" i="5"/>
  <c r="F142" i="5" s="1"/>
  <c r="G142" i="5" s="1"/>
  <c r="F141" i="5"/>
  <c r="G141" i="5" s="1"/>
  <c r="F140" i="5"/>
  <c r="G140" i="5" s="1"/>
  <c r="D139" i="5"/>
  <c r="F139" i="5" s="1"/>
  <c r="G139" i="5" s="1"/>
  <c r="E138" i="5"/>
  <c r="F136" i="5"/>
  <c r="F135" i="5"/>
  <c r="G135" i="5" s="1"/>
  <c r="F134" i="5"/>
  <c r="G134" i="5" s="1"/>
  <c r="F133" i="5"/>
  <c r="G133" i="5" s="1"/>
  <c r="F132" i="5"/>
  <c r="G132" i="5" s="1"/>
  <c r="F131" i="5"/>
  <c r="G131" i="5" s="1"/>
  <c r="F130" i="5"/>
  <c r="G130" i="5" s="1"/>
  <c r="F129" i="5"/>
  <c r="G129" i="5" s="1"/>
  <c r="F128" i="5"/>
  <c r="G128" i="5" s="1"/>
  <c r="F127" i="5"/>
  <c r="G127" i="5" s="1"/>
  <c r="F126" i="5"/>
  <c r="G126" i="5" s="1"/>
  <c r="F125" i="5"/>
  <c r="G125" i="5" s="1"/>
  <c r="F124" i="5"/>
  <c r="G124" i="5" s="1"/>
  <c r="F123" i="5"/>
  <c r="G123" i="5" s="1"/>
  <c r="F122" i="5"/>
  <c r="G122" i="5" s="1"/>
  <c r="F121" i="5"/>
  <c r="G121" i="5" s="1"/>
  <c r="F120" i="5"/>
  <c r="G120" i="5" s="1"/>
  <c r="F119" i="5"/>
  <c r="G119" i="5" s="1"/>
  <c r="F118" i="5"/>
  <c r="G118" i="5" s="1"/>
  <c r="F117" i="5"/>
  <c r="G117" i="5" s="1"/>
  <c r="F116" i="5"/>
  <c r="G116" i="5" s="1"/>
  <c r="F115" i="5"/>
  <c r="G115" i="5" s="1"/>
  <c r="F114" i="5"/>
  <c r="G114" i="5" s="1"/>
  <c r="F113" i="5"/>
  <c r="G113" i="5" s="1"/>
  <c r="F112" i="5"/>
  <c r="G112" i="5" s="1"/>
  <c r="F111" i="5"/>
  <c r="G111" i="5" s="1"/>
  <c r="F110" i="5"/>
  <c r="G110" i="5" s="1"/>
  <c r="F109" i="5"/>
  <c r="G109" i="5" s="1"/>
  <c r="F108" i="5"/>
  <c r="G108" i="5" s="1"/>
  <c r="F107" i="5"/>
  <c r="G107" i="5" s="1"/>
  <c r="F106" i="5"/>
  <c r="G106" i="5" s="1"/>
  <c r="F105" i="5"/>
  <c r="G105" i="5" s="1"/>
  <c r="F104" i="5"/>
  <c r="G104" i="5" s="1"/>
  <c r="F103" i="5"/>
  <c r="G103" i="5" s="1"/>
  <c r="F102" i="5"/>
  <c r="G102" i="5" s="1"/>
  <c r="F101" i="5"/>
  <c r="G101" i="5" s="1"/>
  <c r="F100" i="5"/>
  <c r="G100" i="5" s="1"/>
  <c r="D99" i="5"/>
  <c r="F99" i="5" s="1"/>
  <c r="G99" i="5" s="1"/>
  <c r="F98" i="5"/>
  <c r="G98" i="5" s="1"/>
  <c r="F97" i="5"/>
  <c r="G97" i="5" s="1"/>
  <c r="F96" i="5"/>
  <c r="G96" i="5" s="1"/>
  <c r="F95" i="5"/>
  <c r="G95" i="5" s="1"/>
  <c r="F94" i="5"/>
  <c r="G94" i="5" s="1"/>
  <c r="F93" i="5"/>
  <c r="G93" i="5" s="1"/>
  <c r="D92" i="5"/>
  <c r="F92" i="5" s="1"/>
  <c r="G92" i="5" s="1"/>
  <c r="E91" i="5"/>
  <c r="D91" i="5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E79" i="5"/>
  <c r="D79" i="5"/>
  <c r="G78" i="5"/>
  <c r="F77" i="5"/>
  <c r="G77" i="5" s="1"/>
  <c r="F76" i="5"/>
  <c r="G76" i="5" s="1"/>
  <c r="F75" i="5"/>
  <c r="G75" i="5" s="1"/>
  <c r="E74" i="5"/>
  <c r="D74" i="5"/>
  <c r="F73" i="5"/>
  <c r="G73" i="5" s="1"/>
  <c r="E72" i="5"/>
  <c r="D72" i="5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1" i="5"/>
  <c r="G61" i="5" s="1"/>
  <c r="D60" i="5"/>
  <c r="F60" i="5" s="1"/>
  <c r="G60" i="5" s="1"/>
  <c r="F59" i="5"/>
  <c r="G59" i="5" s="1"/>
  <c r="D58" i="5"/>
  <c r="F58" i="5" s="1"/>
  <c r="G58" i="5" s="1"/>
  <c r="F57" i="5"/>
  <c r="G57" i="5" s="1"/>
  <c r="D56" i="5"/>
  <c r="F56" i="5" s="1"/>
  <c r="G56" i="5" s="1"/>
  <c r="F55" i="5"/>
  <c r="G55" i="5" s="1"/>
  <c r="F54" i="5"/>
  <c r="G54" i="5" s="1"/>
  <c r="F53" i="5"/>
  <c r="G53" i="5" s="1"/>
  <c r="F52" i="5"/>
  <c r="G52" i="5" s="1"/>
  <c r="F51" i="5"/>
  <c r="G51" i="5" s="1"/>
  <c r="D50" i="5"/>
  <c r="F50" i="5" s="1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D43" i="5"/>
  <c r="F43" i="5" s="1"/>
  <c r="G43" i="5" s="1"/>
  <c r="F42" i="5"/>
  <c r="G42" i="5" s="1"/>
  <c r="F41" i="5"/>
  <c r="G41" i="5" s="1"/>
  <c r="F40" i="5"/>
  <c r="G40" i="5" s="1"/>
  <c r="F39" i="5"/>
  <c r="G39" i="5" s="1"/>
  <c r="D38" i="5"/>
  <c r="F38" i="5" s="1"/>
  <c r="G38" i="5" s="1"/>
  <c r="F37" i="5"/>
  <c r="G37" i="5" s="1"/>
  <c r="D36" i="5"/>
  <c r="F36" i="5" s="1"/>
  <c r="G36" i="5" s="1"/>
  <c r="F35" i="5"/>
  <c r="G35" i="5" s="1"/>
  <c r="F34" i="5"/>
  <c r="G34" i="5" s="1"/>
  <c r="F33" i="5"/>
  <c r="G33" i="5" s="1"/>
  <c r="F32" i="5"/>
  <c r="G32" i="5" s="1"/>
  <c r="F31" i="5"/>
  <c r="F30" i="5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D15" i="5"/>
  <c r="F15" i="5" s="1"/>
  <c r="G15" i="5" s="1"/>
  <c r="E14" i="5"/>
  <c r="D1168" i="4"/>
  <c r="D1166" i="4"/>
  <c r="D1164" i="4"/>
  <c r="D1161" i="4"/>
  <c r="D1158" i="4"/>
  <c r="D1156" i="4"/>
  <c r="D1153" i="4"/>
  <c r="D1150" i="4"/>
  <c r="D1146" i="4"/>
  <c r="D1141" i="4"/>
  <c r="D1136" i="4"/>
  <c r="D1134" i="4"/>
  <c r="G1132" i="4"/>
  <c r="E1132" i="4"/>
  <c r="F1098" i="4"/>
  <c r="F1097" i="4" s="1"/>
  <c r="G1097" i="4"/>
  <c r="E1097" i="4"/>
  <c r="D1097" i="4"/>
  <c r="F1096" i="4"/>
  <c r="F1095" i="4"/>
  <c r="F1094" i="4"/>
  <c r="F1093" i="4"/>
  <c r="E1092" i="4"/>
  <c r="D1092" i="4"/>
  <c r="F1091" i="4"/>
  <c r="F1090" i="4"/>
  <c r="F1089" i="4"/>
  <c r="E1088" i="4"/>
  <c r="D1088" i="4"/>
  <c r="F1087" i="4"/>
  <c r="F1086" i="4"/>
  <c r="F1085" i="4"/>
  <c r="G1084" i="4"/>
  <c r="E1084" i="4"/>
  <c r="D1084" i="4"/>
  <c r="F1083" i="4"/>
  <c r="F1082" i="4"/>
  <c r="G1081" i="4"/>
  <c r="E1081" i="4"/>
  <c r="D1081" i="4"/>
  <c r="F1080" i="4"/>
  <c r="G1079" i="4"/>
  <c r="E1079" i="4"/>
  <c r="D1079" i="4"/>
  <c r="G1077" i="4"/>
  <c r="F1075" i="4"/>
  <c r="G1075" i="4" s="1"/>
  <c r="E1074" i="4"/>
  <c r="D1074" i="4"/>
  <c r="F1073" i="4"/>
  <c r="G1073" i="4" s="1"/>
  <c r="F1072" i="4"/>
  <c r="G1072" i="4" s="1"/>
  <c r="F1071" i="4"/>
  <c r="G1071" i="4" s="1"/>
  <c r="E1070" i="4"/>
  <c r="D1070" i="4"/>
  <c r="F1069" i="4"/>
  <c r="G1069" i="4" s="1"/>
  <c r="F1068" i="4"/>
  <c r="G1068" i="4" s="1"/>
  <c r="E1067" i="4"/>
  <c r="D1067" i="4"/>
  <c r="G1064" i="4"/>
  <c r="G1063" i="4"/>
  <c r="D1063" i="4"/>
  <c r="G1062" i="4"/>
  <c r="G1061" i="4"/>
  <c r="G1060" i="4"/>
  <c r="D1060" i="4"/>
  <c r="G1059" i="4"/>
  <c r="G1058" i="4"/>
  <c r="D1058" i="4"/>
  <c r="G1057" i="4"/>
  <c r="G1056" i="4"/>
  <c r="D1056" i="4"/>
  <c r="F1055" i="4"/>
  <c r="G1055" i="4" s="1"/>
  <c r="E1054" i="4"/>
  <c r="D1054" i="4"/>
  <c r="F1053" i="4"/>
  <c r="G1053" i="4" s="1"/>
  <c r="F1052" i="4"/>
  <c r="G1052" i="4" s="1"/>
  <c r="E1051" i="4"/>
  <c r="D1051" i="4"/>
  <c r="F1050" i="4"/>
  <c r="G1050" i="4" s="1"/>
  <c r="F1049" i="4"/>
  <c r="G1049" i="4" s="1"/>
  <c r="E1048" i="4"/>
  <c r="D1048" i="4"/>
  <c r="F1047" i="4"/>
  <c r="G1047" i="4" s="1"/>
  <c r="E1046" i="4"/>
  <c r="D1046" i="4"/>
  <c r="F1045" i="4"/>
  <c r="G1045" i="4" s="1"/>
  <c r="F1044" i="4"/>
  <c r="G1044" i="4" s="1"/>
  <c r="F1043" i="4"/>
  <c r="G1043" i="4" s="1"/>
  <c r="F1042" i="4"/>
  <c r="G1042" i="4" s="1"/>
  <c r="F1041" i="4"/>
  <c r="G1041" i="4" s="1"/>
  <c r="F1040" i="4"/>
  <c r="G1040" i="4" s="1"/>
  <c r="E1039" i="4"/>
  <c r="F1039" i="4" s="1"/>
  <c r="G1039" i="4" s="1"/>
  <c r="D1039" i="4"/>
  <c r="F1038" i="4"/>
  <c r="G1038" i="4" s="1"/>
  <c r="E1037" i="4"/>
  <c r="D1037" i="4"/>
  <c r="F1036" i="4"/>
  <c r="G1036" i="4" s="1"/>
  <c r="F1035" i="4"/>
  <c r="G1035" i="4" s="1"/>
  <c r="E1034" i="4"/>
  <c r="D1034" i="4"/>
  <c r="F1033" i="4"/>
  <c r="G1033" i="4" s="1"/>
  <c r="G1032" i="4"/>
  <c r="F1031" i="4"/>
  <c r="G1031" i="4" s="1"/>
  <c r="E1030" i="4"/>
  <c r="D1030" i="4"/>
  <c r="F1029" i="4"/>
  <c r="G1029" i="4" s="1"/>
  <c r="F1028" i="4"/>
  <c r="G1028" i="4" s="1"/>
  <c r="F1027" i="4"/>
  <c r="G1027" i="4" s="1"/>
  <c r="E1026" i="4"/>
  <c r="D1026" i="4"/>
  <c r="F1025" i="4"/>
  <c r="G1025" i="4" s="1"/>
  <c r="E1024" i="4"/>
  <c r="D1024" i="4"/>
  <c r="F1020" i="4"/>
  <c r="G1020" i="4" s="1"/>
  <c r="G1019" i="4" s="1"/>
  <c r="G1018" i="4" s="1"/>
  <c r="E1019" i="4"/>
  <c r="F1019" i="4" s="1"/>
  <c r="F1016" i="4"/>
  <c r="G1016" i="4" s="1"/>
  <c r="E1015" i="4"/>
  <c r="D1015" i="4"/>
  <c r="F1014" i="4"/>
  <c r="G1014" i="4" s="1"/>
  <c r="F1013" i="4"/>
  <c r="G1013" i="4" s="1"/>
  <c r="E1012" i="4"/>
  <c r="D1012" i="4"/>
  <c r="F1011" i="4"/>
  <c r="G1011" i="4" s="1"/>
  <c r="F1010" i="4"/>
  <c r="G1010" i="4" s="1"/>
  <c r="F1009" i="4"/>
  <c r="G1009" i="4" s="1"/>
  <c r="E1008" i="4"/>
  <c r="D1008" i="4"/>
  <c r="F1007" i="4"/>
  <c r="G1007" i="4" s="1"/>
  <c r="F1006" i="4"/>
  <c r="G1006" i="4" s="1"/>
  <c r="F1005" i="4"/>
  <c r="G1005" i="4" s="1"/>
  <c r="E1004" i="4"/>
  <c r="D1004" i="4"/>
  <c r="F1000" i="4"/>
  <c r="G1000" i="4" s="1"/>
  <c r="E999" i="4"/>
  <c r="F999" i="4" s="1"/>
  <c r="G999" i="4" s="1"/>
  <c r="F998" i="4"/>
  <c r="G998" i="4" s="1"/>
  <c r="E997" i="4"/>
  <c r="F997" i="4" s="1"/>
  <c r="G997" i="4" s="1"/>
  <c r="F996" i="4"/>
  <c r="G996" i="4" s="1"/>
  <c r="F995" i="4"/>
  <c r="G995" i="4" s="1"/>
  <c r="F994" i="4"/>
  <c r="G994" i="4" s="1"/>
  <c r="F993" i="4"/>
  <c r="G993" i="4" s="1"/>
  <c r="F992" i="4"/>
  <c r="G992" i="4" s="1"/>
  <c r="F991" i="4"/>
  <c r="G991" i="4" s="1"/>
  <c r="E990" i="4"/>
  <c r="F990" i="4" s="1"/>
  <c r="G990" i="4" s="1"/>
  <c r="F989" i="4"/>
  <c r="G989" i="4" s="1"/>
  <c r="F988" i="4"/>
  <c r="G988" i="4" s="1"/>
  <c r="F987" i="4"/>
  <c r="G987" i="4" s="1"/>
  <c r="F986" i="4"/>
  <c r="G986" i="4" s="1"/>
  <c r="F985" i="4"/>
  <c r="G985" i="4" s="1"/>
  <c r="F984" i="4"/>
  <c r="G984" i="4" s="1"/>
  <c r="E983" i="4"/>
  <c r="F983" i="4" s="1"/>
  <c r="G983" i="4" s="1"/>
  <c r="F982" i="4"/>
  <c r="G982" i="4" s="1"/>
  <c r="F981" i="4"/>
  <c r="G981" i="4" s="1"/>
  <c r="E980" i="4"/>
  <c r="F980" i="4" s="1"/>
  <c r="G980" i="4" s="1"/>
  <c r="F979" i="4"/>
  <c r="G979" i="4" s="1"/>
  <c r="F978" i="4"/>
  <c r="G978" i="4" s="1"/>
  <c r="E977" i="4"/>
  <c r="F977" i="4" s="1"/>
  <c r="G977" i="4" s="1"/>
  <c r="F976" i="4"/>
  <c r="G976" i="4" s="1"/>
  <c r="F975" i="4"/>
  <c r="G975" i="4" s="1"/>
  <c r="F974" i="4"/>
  <c r="G974" i="4" s="1"/>
  <c r="F973" i="4"/>
  <c r="G973" i="4" s="1"/>
  <c r="E972" i="4"/>
  <c r="F972" i="4" s="1"/>
  <c r="G972" i="4" s="1"/>
  <c r="F971" i="4"/>
  <c r="G971" i="4" s="1"/>
  <c r="F970" i="4"/>
  <c r="G970" i="4" s="1"/>
  <c r="E969" i="4"/>
  <c r="D968" i="4"/>
  <c r="D967" i="4" s="1"/>
  <c r="F965" i="4"/>
  <c r="G964" i="4"/>
  <c r="E964" i="4"/>
  <c r="D964" i="4"/>
  <c r="F963" i="4"/>
  <c r="G962" i="4"/>
  <c r="E962" i="4"/>
  <c r="D962" i="4"/>
  <c r="F961" i="4"/>
  <c r="G960" i="4"/>
  <c r="E960" i="4"/>
  <c r="D960" i="4"/>
  <c r="F959" i="4"/>
  <c r="F958" i="4" s="1"/>
  <c r="G958" i="4"/>
  <c r="E958" i="4"/>
  <c r="D958" i="4"/>
  <c r="F957" i="4"/>
  <c r="F956" i="4"/>
  <c r="G955" i="4"/>
  <c r="E955" i="4"/>
  <c r="D955" i="4"/>
  <c r="F954" i="4"/>
  <c r="F953" i="4"/>
  <c r="G952" i="4"/>
  <c r="E952" i="4"/>
  <c r="D952" i="4"/>
  <c r="F951" i="4"/>
  <c r="F950" i="4"/>
  <c r="G949" i="4"/>
  <c r="E949" i="4"/>
  <c r="D949" i="4"/>
  <c r="F948" i="4"/>
  <c r="F947" i="4"/>
  <c r="F946" i="4"/>
  <c r="E945" i="4"/>
  <c r="D945" i="4"/>
  <c r="F944" i="4"/>
  <c r="G943" i="4"/>
  <c r="E943" i="4"/>
  <c r="D943" i="4"/>
  <c r="F938" i="4"/>
  <c r="E937" i="4"/>
  <c r="F937" i="4" s="1"/>
  <c r="F935" i="4"/>
  <c r="E934" i="4"/>
  <c r="D934" i="4"/>
  <c r="F933" i="4"/>
  <c r="E932" i="4"/>
  <c r="D932" i="4"/>
  <c r="F931" i="4"/>
  <c r="F930" i="4"/>
  <c r="E929" i="4"/>
  <c r="D929" i="4"/>
  <c r="F928" i="4"/>
  <c r="E927" i="4"/>
  <c r="D927" i="4"/>
  <c r="F926" i="4"/>
  <c r="E925" i="4"/>
  <c r="D925" i="4"/>
  <c r="F924" i="4"/>
  <c r="F923" i="4"/>
  <c r="E922" i="4"/>
  <c r="D922" i="4"/>
  <c r="G920" i="4"/>
  <c r="G918" i="4"/>
  <c r="F918" i="4"/>
  <c r="G917" i="4"/>
  <c r="F917" i="4"/>
  <c r="E916" i="4"/>
  <c r="D916" i="4"/>
  <c r="G915" i="4"/>
  <c r="F915" i="4"/>
  <c r="E914" i="4"/>
  <c r="D914" i="4"/>
  <c r="G913" i="4"/>
  <c r="F913" i="4"/>
  <c r="G912" i="4"/>
  <c r="F912" i="4"/>
  <c r="E911" i="4"/>
  <c r="D911" i="4"/>
  <c r="G910" i="4"/>
  <c r="F910" i="4"/>
  <c r="G909" i="4"/>
  <c r="F909" i="4"/>
  <c r="E908" i="4"/>
  <c r="D908" i="4"/>
  <c r="G907" i="4"/>
  <c r="F907" i="4"/>
  <c r="E906" i="4"/>
  <c r="D906" i="4"/>
  <c r="G905" i="4"/>
  <c r="F905" i="4"/>
  <c r="E904" i="4"/>
  <c r="D904" i="4"/>
  <c r="G903" i="4"/>
  <c r="F903" i="4"/>
  <c r="G902" i="4"/>
  <c r="F902" i="4"/>
  <c r="G901" i="4"/>
  <c r="F901" i="4"/>
  <c r="E900" i="4"/>
  <c r="D900" i="4"/>
  <c r="G899" i="4"/>
  <c r="F899" i="4"/>
  <c r="E898" i="4"/>
  <c r="D898" i="4"/>
  <c r="F894" i="4"/>
  <c r="E893" i="4"/>
  <c r="F893" i="4" s="1"/>
  <c r="F892" i="4"/>
  <c r="E891" i="4"/>
  <c r="F891" i="4" s="1"/>
  <c r="F890" i="4"/>
  <c r="E889" i="4"/>
  <c r="F889" i="4" s="1"/>
  <c r="F888" i="4"/>
  <c r="F887" i="4"/>
  <c r="E886" i="4"/>
  <c r="F886" i="4" s="1"/>
  <c r="F885" i="4"/>
  <c r="E884" i="4"/>
  <c r="F884" i="4" s="1"/>
  <c r="F883" i="4"/>
  <c r="F882" i="4"/>
  <c r="E881" i="4"/>
  <c r="F881" i="4" s="1"/>
  <c r="F880" i="4"/>
  <c r="F879" i="4"/>
  <c r="F878" i="4"/>
  <c r="F877" i="4"/>
  <c r="F876" i="4"/>
  <c r="E875" i="4"/>
  <c r="F875" i="4" s="1"/>
  <c r="F874" i="4"/>
  <c r="E873" i="4"/>
  <c r="F873" i="4" s="1"/>
  <c r="F872" i="4"/>
  <c r="F871" i="4"/>
  <c r="F870" i="4"/>
  <c r="E869" i="4"/>
  <c r="F869" i="4" s="1"/>
  <c r="F868" i="4"/>
  <c r="E867" i="4"/>
  <c r="F867" i="4" s="1"/>
  <c r="G865" i="4"/>
  <c r="D865" i="4"/>
  <c r="F863" i="4"/>
  <c r="G863" i="4" s="1"/>
  <c r="G862" i="4"/>
  <c r="F861" i="4"/>
  <c r="G861" i="4" s="1"/>
  <c r="E860" i="4"/>
  <c r="D860" i="4"/>
  <c r="D858" i="4"/>
  <c r="F856" i="4"/>
  <c r="G856" i="4" s="1"/>
  <c r="E855" i="4"/>
  <c r="F855" i="4" s="1"/>
  <c r="G855" i="4" s="1"/>
  <c r="F854" i="4"/>
  <c r="G854" i="4" s="1"/>
  <c r="G853" i="4"/>
  <c r="E853" i="4"/>
  <c r="F852" i="4"/>
  <c r="G852" i="4" s="1"/>
  <c r="E851" i="4"/>
  <c r="F851" i="4" s="1"/>
  <c r="G851" i="4" s="1"/>
  <c r="F850" i="4"/>
  <c r="G850" i="4" s="1"/>
  <c r="E849" i="4"/>
  <c r="F849" i="4" s="1"/>
  <c r="G849" i="4" s="1"/>
  <c r="F848" i="4"/>
  <c r="G848" i="4" s="1"/>
  <c r="G847" i="4"/>
  <c r="E847" i="4"/>
  <c r="F846" i="4"/>
  <c r="G846" i="4" s="1"/>
  <c r="E845" i="4"/>
  <c r="F845" i="4" s="1"/>
  <c r="G845" i="4" s="1"/>
  <c r="F842" i="4"/>
  <c r="G842" i="4" s="1"/>
  <c r="F841" i="4"/>
  <c r="G841" i="4" s="1"/>
  <c r="F840" i="4"/>
  <c r="G840" i="4" s="1"/>
  <c r="G839" i="4"/>
  <c r="G838" i="4"/>
  <c r="E838" i="4"/>
  <c r="D838" i="4"/>
  <c r="F837" i="4"/>
  <c r="G837" i="4" s="1"/>
  <c r="G836" i="4"/>
  <c r="E836" i="4"/>
  <c r="D836" i="4"/>
  <c r="G835" i="4"/>
  <c r="G834" i="4"/>
  <c r="D834" i="4"/>
  <c r="F833" i="4"/>
  <c r="G833" i="4" s="1"/>
  <c r="G832" i="4"/>
  <c r="G831" i="4"/>
  <c r="G830" i="4"/>
  <c r="F829" i="4"/>
  <c r="G829" i="4" s="1"/>
  <c r="F828" i="4"/>
  <c r="G828" i="4" s="1"/>
  <c r="F827" i="4"/>
  <c r="G827" i="4" s="1"/>
  <c r="G826" i="4"/>
  <c r="F825" i="4"/>
  <c r="G825" i="4" s="1"/>
  <c r="G824" i="4"/>
  <c r="F823" i="4"/>
  <c r="G823" i="4" s="1"/>
  <c r="F822" i="4"/>
  <c r="G822" i="4" s="1"/>
  <c r="E821" i="4"/>
  <c r="D821" i="4"/>
  <c r="D816" i="4"/>
  <c r="F815" i="4"/>
  <c r="G815" i="4" s="1"/>
  <c r="F813" i="4"/>
  <c r="G813" i="4" s="1"/>
  <c r="E811" i="4"/>
  <c r="D811" i="4"/>
  <c r="D806" i="4"/>
  <c r="F805" i="4"/>
  <c r="G805" i="4" s="1"/>
  <c r="E804" i="4"/>
  <c r="D804" i="4"/>
  <c r="F803" i="4"/>
  <c r="G803" i="4" s="1"/>
  <c r="F802" i="4"/>
  <c r="G802" i="4" s="1"/>
  <c r="E801" i="4"/>
  <c r="D801" i="4"/>
  <c r="E793" i="4"/>
  <c r="E791" i="4"/>
  <c r="F791" i="4" s="1"/>
  <c r="E790" i="4"/>
  <c r="E788" i="4"/>
  <c r="F788" i="4" s="1"/>
  <c r="F787" i="4"/>
  <c r="E786" i="4"/>
  <c r="F786" i="4" s="1"/>
  <c r="E785" i="4"/>
  <c r="F785" i="4" s="1"/>
  <c r="E783" i="4"/>
  <c r="F783" i="4" s="1"/>
  <c r="E781" i="4"/>
  <c r="F781" i="4" s="1"/>
  <c r="D779" i="4"/>
  <c r="D778" i="4" s="1"/>
  <c r="G778" i="4"/>
  <c r="F776" i="4"/>
  <c r="E775" i="4"/>
  <c r="F775" i="4" s="1"/>
  <c r="F772" i="4"/>
  <c r="F771" i="4"/>
  <c r="E770" i="4"/>
  <c r="F770" i="4" s="1"/>
  <c r="F769" i="4"/>
  <c r="E768" i="4"/>
  <c r="F768" i="4" s="1"/>
  <c r="F767" i="4"/>
  <c r="E766" i="4"/>
  <c r="F766" i="4" s="1"/>
  <c r="F765" i="4"/>
  <c r="E764" i="4"/>
  <c r="F764" i="4" s="1"/>
  <c r="F763" i="4"/>
  <c r="F762" i="4"/>
  <c r="F761" i="4"/>
  <c r="F760" i="4"/>
  <c r="E759" i="4"/>
  <c r="F759" i="4" s="1"/>
  <c r="F758" i="4"/>
  <c r="E757" i="4"/>
  <c r="F757" i="4" s="1"/>
  <c r="F756" i="4"/>
  <c r="E755" i="4"/>
  <c r="F755" i="4" s="1"/>
  <c r="F754" i="4"/>
  <c r="E753" i="4"/>
  <c r="F753" i="4" s="1"/>
  <c r="F752" i="4"/>
  <c r="E751" i="4"/>
  <c r="D750" i="4"/>
  <c r="D749" i="4" s="1"/>
  <c r="G749" i="4"/>
  <c r="E747" i="4"/>
  <c r="F747" i="4" s="1"/>
  <c r="G747" i="4" s="1"/>
  <c r="D746" i="4"/>
  <c r="E745" i="4"/>
  <c r="E744" i="4" s="1"/>
  <c r="D744" i="4"/>
  <c r="E743" i="4"/>
  <c r="F743" i="4" s="1"/>
  <c r="G743" i="4" s="1"/>
  <c r="E742" i="4"/>
  <c r="F742" i="4" s="1"/>
  <c r="G742" i="4" s="1"/>
  <c r="D741" i="4"/>
  <c r="E740" i="4"/>
  <c r="F740" i="4" s="1"/>
  <c r="G740" i="4" s="1"/>
  <c r="D739" i="4"/>
  <c r="E736" i="4"/>
  <c r="F736" i="4" s="1"/>
  <c r="G736" i="4" s="1"/>
  <c r="D735" i="4"/>
  <c r="E735" i="4" s="1"/>
  <c r="F735" i="4" s="1"/>
  <c r="G735" i="4" s="1"/>
  <c r="E734" i="4"/>
  <c r="E733" i="4" s="1"/>
  <c r="D733" i="4"/>
  <c r="D732" i="4"/>
  <c r="E732" i="4" s="1"/>
  <c r="F730" i="4"/>
  <c r="G730" i="4" s="1"/>
  <c r="E729" i="4"/>
  <c r="E728" i="4" s="1"/>
  <c r="D728" i="4"/>
  <c r="E727" i="4"/>
  <c r="F727" i="4" s="1"/>
  <c r="G727" i="4" s="1"/>
  <c r="E726" i="4"/>
  <c r="F726" i="4" s="1"/>
  <c r="G726" i="4" s="1"/>
  <c r="F725" i="4"/>
  <c r="G725" i="4" s="1"/>
  <c r="E724" i="4"/>
  <c r="F724" i="4" s="1"/>
  <c r="G724" i="4" s="1"/>
  <c r="F723" i="4"/>
  <c r="G723" i="4" s="1"/>
  <c r="D722" i="4"/>
  <c r="E721" i="4"/>
  <c r="F721" i="4" s="1"/>
  <c r="G721" i="4" s="1"/>
  <c r="E720" i="4"/>
  <c r="F720" i="4" s="1"/>
  <c r="G720" i="4" s="1"/>
  <c r="D719" i="4"/>
  <c r="E718" i="4"/>
  <c r="F718" i="4" s="1"/>
  <c r="G718" i="4" s="1"/>
  <c r="D717" i="4"/>
  <c r="F713" i="4"/>
  <c r="G712" i="4"/>
  <c r="E712" i="4"/>
  <c r="F712" i="4" s="1"/>
  <c r="F711" i="4"/>
  <c r="G710" i="4"/>
  <c r="E710" i="4"/>
  <c r="F710" i="4" s="1"/>
  <c r="F709" i="4"/>
  <c r="F708" i="4"/>
  <c r="G707" i="4"/>
  <c r="E707" i="4"/>
  <c r="F707" i="4" s="1"/>
  <c r="F706" i="4"/>
  <c r="G705" i="4"/>
  <c r="E705" i="4"/>
  <c r="F705" i="4" s="1"/>
  <c r="F701" i="4"/>
  <c r="G701" i="4" s="1"/>
  <c r="E700" i="4"/>
  <c r="F700" i="4" s="1"/>
  <c r="G700" i="4" s="1"/>
  <c r="F699" i="4"/>
  <c r="G699" i="4" s="1"/>
  <c r="F698" i="4"/>
  <c r="G698" i="4" s="1"/>
  <c r="F697" i="4"/>
  <c r="G697" i="4" s="1"/>
  <c r="F696" i="4"/>
  <c r="G696" i="4" s="1"/>
  <c r="E695" i="4"/>
  <c r="F695" i="4" s="1"/>
  <c r="G695" i="4" s="1"/>
  <c r="F694" i="4"/>
  <c r="G694" i="4" s="1"/>
  <c r="F693" i="4"/>
  <c r="G693" i="4" s="1"/>
  <c r="E692" i="4"/>
  <c r="F692" i="4" s="1"/>
  <c r="G692" i="4" s="1"/>
  <c r="F689" i="4"/>
  <c r="G689" i="4" s="1"/>
  <c r="F688" i="4"/>
  <c r="G688" i="4" s="1"/>
  <c r="F687" i="4"/>
  <c r="G687" i="4" s="1"/>
  <c r="E686" i="4"/>
  <c r="F686" i="4" s="1"/>
  <c r="G686" i="4" s="1"/>
  <c r="F682" i="4"/>
  <c r="G682" i="4" s="1"/>
  <c r="E681" i="4"/>
  <c r="F681" i="4" s="1"/>
  <c r="G681" i="4" s="1"/>
  <c r="F680" i="4"/>
  <c r="G680" i="4" s="1"/>
  <c r="F679" i="4"/>
  <c r="G679" i="4" s="1"/>
  <c r="E678" i="4"/>
  <c r="F678" i="4" s="1"/>
  <c r="G678" i="4" s="1"/>
  <c r="F677" i="4"/>
  <c r="G677" i="4" s="1"/>
  <c r="F676" i="4"/>
  <c r="G676" i="4" s="1"/>
  <c r="E675" i="4"/>
  <c r="F675" i="4" s="1"/>
  <c r="G675" i="4" s="1"/>
  <c r="F674" i="4"/>
  <c r="G674" i="4" s="1"/>
  <c r="F673" i="4"/>
  <c r="G673" i="4" s="1"/>
  <c r="E672" i="4"/>
  <c r="F672" i="4" s="1"/>
  <c r="G672" i="4" s="1"/>
  <c r="F671" i="4"/>
  <c r="G671" i="4" s="1"/>
  <c r="E670" i="4"/>
  <c r="F670" i="4" s="1"/>
  <c r="G670" i="4" s="1"/>
  <c r="D668" i="4"/>
  <c r="D667" i="4" s="1"/>
  <c r="F665" i="4"/>
  <c r="F664" i="4"/>
  <c r="F663" i="4"/>
  <c r="F662" i="4"/>
  <c r="G661" i="4"/>
  <c r="E661" i="4"/>
  <c r="D661" i="4"/>
  <c r="F660" i="4"/>
  <c r="F659" i="4"/>
  <c r="F658" i="4"/>
  <c r="G657" i="4"/>
  <c r="E657" i="4"/>
  <c r="D657" i="4"/>
  <c r="F654" i="4"/>
  <c r="F653" i="4"/>
  <c r="F652" i="4"/>
  <c r="F651" i="4"/>
  <c r="F650" i="4"/>
  <c r="F649" i="4"/>
  <c r="G648" i="4"/>
  <c r="E648" i="4"/>
  <c r="D648" i="4"/>
  <c r="F647" i="4"/>
  <c r="G646" i="4"/>
  <c r="E646" i="4"/>
  <c r="D646" i="4"/>
  <c r="F645" i="4"/>
  <c r="F644" i="4"/>
  <c r="G643" i="4"/>
  <c r="E643" i="4"/>
  <c r="D643" i="4"/>
  <c r="F642" i="4"/>
  <c r="G641" i="4"/>
  <c r="E641" i="4"/>
  <c r="D641" i="4"/>
  <c r="F640" i="4"/>
  <c r="F639" i="4"/>
  <c r="F638" i="4"/>
  <c r="G637" i="4"/>
  <c r="E637" i="4"/>
  <c r="D637" i="4"/>
  <c r="F636" i="4"/>
  <c r="F635" i="4"/>
  <c r="F634" i="4"/>
  <c r="G633" i="4"/>
  <c r="E633" i="4"/>
  <c r="F633" i="4" s="1"/>
  <c r="D633" i="4"/>
  <c r="F629" i="4"/>
  <c r="E628" i="4"/>
  <c r="D628" i="4"/>
  <c r="F627" i="4"/>
  <c r="E626" i="4"/>
  <c r="D626" i="4"/>
  <c r="G625" i="4"/>
  <c r="F623" i="4"/>
  <c r="G622" i="4"/>
  <c r="E622" i="4"/>
  <c r="D622" i="4"/>
  <c r="F621" i="4"/>
  <c r="G620" i="4"/>
  <c r="E620" i="4"/>
  <c r="D620" i="4"/>
  <c r="F619" i="4"/>
  <c r="G618" i="4"/>
  <c r="D618" i="4"/>
  <c r="F618" i="4" s="1"/>
  <c r="F617" i="4"/>
  <c r="G616" i="4"/>
  <c r="E616" i="4"/>
  <c r="D616" i="4"/>
  <c r="G611" i="4"/>
  <c r="F611" i="4"/>
  <c r="E611" i="4"/>
  <c r="D611" i="4"/>
  <c r="F610" i="4"/>
  <c r="G609" i="4"/>
  <c r="E609" i="4"/>
  <c r="D609" i="4"/>
  <c r="F608" i="4"/>
  <c r="F607" i="4"/>
  <c r="F606" i="4"/>
  <c r="F605" i="4"/>
  <c r="G604" i="4"/>
  <c r="E604" i="4"/>
  <c r="D604" i="4"/>
  <c r="F603" i="4"/>
  <c r="F602" i="4"/>
  <c r="G601" i="4"/>
  <c r="E601" i="4"/>
  <c r="D601" i="4"/>
  <c r="F600" i="4"/>
  <c r="F599" i="4"/>
  <c r="G598" i="4"/>
  <c r="E598" i="4"/>
  <c r="D598" i="4"/>
  <c r="F597" i="4"/>
  <c r="F596" i="4"/>
  <c r="F595" i="4"/>
  <c r="F594" i="4"/>
  <c r="F593" i="4"/>
  <c r="F592" i="4"/>
  <c r="F591" i="4"/>
  <c r="F590" i="4"/>
  <c r="F589" i="4"/>
  <c r="G588" i="4"/>
  <c r="E588" i="4"/>
  <c r="D588" i="4"/>
  <c r="F587" i="4"/>
  <c r="F586" i="4"/>
  <c r="G585" i="4"/>
  <c r="E585" i="4"/>
  <c r="D585" i="4"/>
  <c r="F584" i="4"/>
  <c r="F583" i="4"/>
  <c r="G582" i="4"/>
  <c r="E582" i="4"/>
  <c r="D582" i="4"/>
  <c r="F581" i="4"/>
  <c r="E580" i="4"/>
  <c r="D580" i="4"/>
  <c r="F579" i="4"/>
  <c r="E578" i="4"/>
  <c r="D578" i="4"/>
  <c r="F576" i="4"/>
  <c r="F575" i="4"/>
  <c r="F574" i="4"/>
  <c r="E573" i="4"/>
  <c r="D573" i="4"/>
  <c r="D572" i="4" s="1"/>
  <c r="F570" i="4"/>
  <c r="G570" i="4" s="1"/>
  <c r="E569" i="4"/>
  <c r="F569" i="4" s="1"/>
  <c r="G569" i="4" s="1"/>
  <c r="F568" i="4"/>
  <c r="G568" i="4" s="1"/>
  <c r="E567" i="4"/>
  <c r="F567" i="4" s="1"/>
  <c r="G567" i="4" s="1"/>
  <c r="D566" i="4"/>
  <c r="G565" i="4"/>
  <c r="F564" i="4"/>
  <c r="G564" i="4" s="1"/>
  <c r="E563" i="4"/>
  <c r="F563" i="4" s="1"/>
  <c r="G563" i="4" s="1"/>
  <c r="F562" i="4"/>
  <c r="G562" i="4" s="1"/>
  <c r="F561" i="4"/>
  <c r="G561" i="4" s="1"/>
  <c r="E560" i="4"/>
  <c r="F560" i="4" s="1"/>
  <c r="G560" i="4" s="1"/>
  <c r="F559" i="4"/>
  <c r="G559" i="4" s="1"/>
  <c r="E558" i="4"/>
  <c r="F558" i="4" s="1"/>
  <c r="G558" i="4" s="1"/>
  <c r="F557" i="4"/>
  <c r="G557" i="4" s="1"/>
  <c r="F556" i="4"/>
  <c r="G556" i="4" s="1"/>
  <c r="E555" i="4"/>
  <c r="F555" i="4" s="1"/>
  <c r="G555" i="4" s="1"/>
  <c r="F554" i="4"/>
  <c r="G554" i="4" s="1"/>
  <c r="F553" i="4"/>
  <c r="G553" i="4" s="1"/>
  <c r="E552" i="4"/>
  <c r="F552" i="4" s="1"/>
  <c r="G552" i="4" s="1"/>
  <c r="F551" i="4"/>
  <c r="G551" i="4" s="1"/>
  <c r="E550" i="4"/>
  <c r="F550" i="4" s="1"/>
  <c r="G550" i="4" s="1"/>
  <c r="D549" i="4"/>
  <c r="D546" i="4"/>
  <c r="F546" i="4" s="1"/>
  <c r="G545" i="4"/>
  <c r="F545" i="4"/>
  <c r="D544" i="4"/>
  <c r="F544" i="4" s="1"/>
  <c r="G543" i="4"/>
  <c r="F543" i="4"/>
  <c r="D542" i="4"/>
  <c r="F542" i="4" s="1"/>
  <c r="G541" i="4"/>
  <c r="F541" i="4"/>
  <c r="D540" i="4"/>
  <c r="F540" i="4" s="1"/>
  <c r="F538" i="4"/>
  <c r="G537" i="4"/>
  <c r="F537" i="4"/>
  <c r="F536" i="4"/>
  <c r="G535" i="4"/>
  <c r="F535" i="4"/>
  <c r="F534" i="4"/>
  <c r="G533" i="4"/>
  <c r="F533" i="4"/>
  <c r="F532" i="4"/>
  <c r="F531" i="4"/>
  <c r="F530" i="4"/>
  <c r="F529" i="4"/>
  <c r="G528" i="4"/>
  <c r="D528" i="4"/>
  <c r="F528" i="4" s="1"/>
  <c r="E526" i="4"/>
  <c r="F524" i="4"/>
  <c r="G524" i="4" s="1"/>
  <c r="E523" i="4"/>
  <c r="D523" i="4"/>
  <c r="F522" i="4"/>
  <c r="G522" i="4" s="1"/>
  <c r="F521" i="4"/>
  <c r="G521" i="4" s="1"/>
  <c r="E520" i="4"/>
  <c r="D520" i="4"/>
  <c r="F519" i="4"/>
  <c r="G519" i="4" s="1"/>
  <c r="F518" i="4"/>
  <c r="G518" i="4" s="1"/>
  <c r="E517" i="4"/>
  <c r="D517" i="4"/>
  <c r="F516" i="4"/>
  <c r="G516" i="4" s="1"/>
  <c r="F515" i="4"/>
  <c r="G515" i="4" s="1"/>
  <c r="E514" i="4"/>
  <c r="D514" i="4"/>
  <c r="D513" i="4" s="1"/>
  <c r="F511" i="4"/>
  <c r="G511" i="4" s="1"/>
  <c r="F510" i="4"/>
  <c r="G510" i="4" s="1"/>
  <c r="F509" i="4"/>
  <c r="G509" i="4" s="1"/>
  <c r="F508" i="4"/>
  <c r="G508" i="4" s="1"/>
  <c r="F507" i="4"/>
  <c r="G507" i="4" s="1"/>
  <c r="E506" i="4"/>
  <c r="D506" i="4"/>
  <c r="F505" i="4"/>
  <c r="G505" i="4" s="1"/>
  <c r="F504" i="4"/>
  <c r="G504" i="4" s="1"/>
  <c r="F503" i="4"/>
  <c r="G503" i="4" s="1"/>
  <c r="E502" i="4"/>
  <c r="D502" i="4"/>
  <c r="F501" i="4"/>
  <c r="G501" i="4" s="1"/>
  <c r="F500" i="4"/>
  <c r="G500" i="4" s="1"/>
  <c r="E499" i="4"/>
  <c r="D499" i="4"/>
  <c r="F498" i="4"/>
  <c r="G498" i="4" s="1"/>
  <c r="F497" i="4"/>
  <c r="G497" i="4" s="1"/>
  <c r="F496" i="4"/>
  <c r="G496" i="4" s="1"/>
  <c r="F495" i="4"/>
  <c r="G495" i="4" s="1"/>
  <c r="F494" i="4"/>
  <c r="G494" i="4" s="1"/>
  <c r="F493" i="4"/>
  <c r="G493" i="4" s="1"/>
  <c r="F492" i="4"/>
  <c r="G492" i="4" s="1"/>
  <c r="F491" i="4"/>
  <c r="G491" i="4" s="1"/>
  <c r="E490" i="4"/>
  <c r="D490" i="4"/>
  <c r="F489" i="4"/>
  <c r="G489" i="4" s="1"/>
  <c r="F488" i="4"/>
  <c r="G488" i="4" s="1"/>
  <c r="F487" i="4"/>
  <c r="G487" i="4" s="1"/>
  <c r="F486" i="4"/>
  <c r="G486" i="4" s="1"/>
  <c r="E485" i="4"/>
  <c r="D485" i="4"/>
  <c r="F481" i="4"/>
  <c r="G481" i="4" s="1"/>
  <c r="E480" i="4"/>
  <c r="F480" i="4" s="1"/>
  <c r="G480" i="4" s="1"/>
  <c r="D480" i="4"/>
  <c r="D479" i="4"/>
  <c r="G478" i="4"/>
  <c r="F477" i="4"/>
  <c r="G477" i="4" s="1"/>
  <c r="E476" i="4"/>
  <c r="D476" i="4"/>
  <c r="F475" i="4"/>
  <c r="G475" i="4" s="1"/>
  <c r="E474" i="4"/>
  <c r="D474" i="4"/>
  <c r="F473" i="4"/>
  <c r="G473" i="4" s="1"/>
  <c r="F472" i="4"/>
  <c r="G472" i="4" s="1"/>
  <c r="E471" i="4"/>
  <c r="D471" i="4"/>
  <c r="F470" i="4"/>
  <c r="G470" i="4" s="1"/>
  <c r="E469" i="4"/>
  <c r="D469" i="4"/>
  <c r="F468" i="4"/>
  <c r="G468" i="4" s="1"/>
  <c r="F467" i="4"/>
  <c r="G467" i="4" s="1"/>
  <c r="E466" i="4"/>
  <c r="D466" i="4"/>
  <c r="F465" i="4"/>
  <c r="G465" i="4" s="1"/>
  <c r="F464" i="4"/>
  <c r="G464" i="4" s="1"/>
  <c r="F463" i="4"/>
  <c r="G463" i="4" s="1"/>
  <c r="E462" i="4"/>
  <c r="D462" i="4"/>
  <c r="F461" i="4"/>
  <c r="G461" i="4" s="1"/>
  <c r="E460" i="4"/>
  <c r="D460" i="4"/>
  <c r="F459" i="4"/>
  <c r="G459" i="4" s="1"/>
  <c r="E458" i="4"/>
  <c r="D458" i="4"/>
  <c r="F457" i="4"/>
  <c r="G457" i="4" s="1"/>
  <c r="F456" i="4"/>
  <c r="G456" i="4" s="1"/>
  <c r="F455" i="4"/>
  <c r="G455" i="4" s="1"/>
  <c r="E454" i="4"/>
  <c r="D454" i="4"/>
  <c r="F453" i="4"/>
  <c r="G453" i="4" s="1"/>
  <c r="F452" i="4"/>
  <c r="G452" i="4" s="1"/>
  <c r="F451" i="4"/>
  <c r="G451" i="4" s="1"/>
  <c r="E450" i="4"/>
  <c r="D450" i="4"/>
  <c r="F449" i="4"/>
  <c r="G449" i="4" s="1"/>
  <c r="E448" i="4"/>
  <c r="D448" i="4"/>
  <c r="F444" i="4"/>
  <c r="G444" i="4" s="1"/>
  <c r="F443" i="4"/>
  <c r="G443" i="4" s="1"/>
  <c r="F442" i="4"/>
  <c r="F441" i="4"/>
  <c r="G441" i="4" s="1"/>
  <c r="E440" i="4"/>
  <c r="D440" i="4"/>
  <c r="F439" i="4"/>
  <c r="G439" i="4" s="1"/>
  <c r="G438" i="4" s="1"/>
  <c r="E438" i="4"/>
  <c r="D438" i="4"/>
  <c r="F437" i="4"/>
  <c r="G437" i="4" s="1"/>
  <c r="F436" i="4"/>
  <c r="G436" i="4" s="1"/>
  <c r="F435" i="4"/>
  <c r="G435" i="4" s="1"/>
  <c r="F434" i="4"/>
  <c r="G434" i="4" s="1"/>
  <c r="F433" i="4"/>
  <c r="G433" i="4" s="1"/>
  <c r="F432" i="4"/>
  <c r="G432" i="4" s="1"/>
  <c r="E431" i="4"/>
  <c r="D431" i="4"/>
  <c r="F430" i="4"/>
  <c r="G429" i="4"/>
  <c r="E429" i="4"/>
  <c r="D429" i="4"/>
  <c r="F428" i="4"/>
  <c r="G428" i="4" s="1"/>
  <c r="F427" i="4"/>
  <c r="G427" i="4" s="1"/>
  <c r="F426" i="4"/>
  <c r="G426" i="4" s="1"/>
  <c r="F425" i="4"/>
  <c r="G425" i="4" s="1"/>
  <c r="F424" i="4"/>
  <c r="G424" i="4" s="1"/>
  <c r="F423" i="4"/>
  <c r="G423" i="4" s="1"/>
  <c r="F422" i="4"/>
  <c r="G422" i="4" s="1"/>
  <c r="F421" i="4"/>
  <c r="G421" i="4" s="1"/>
  <c r="F420" i="4"/>
  <c r="G420" i="4" s="1"/>
  <c r="F419" i="4"/>
  <c r="G419" i="4" s="1"/>
  <c r="F418" i="4"/>
  <c r="G418" i="4" s="1"/>
  <c r="F417" i="4"/>
  <c r="G417" i="4" s="1"/>
  <c r="F416" i="4"/>
  <c r="G416" i="4" s="1"/>
  <c r="E415" i="4"/>
  <c r="D415" i="4"/>
  <c r="F414" i="4"/>
  <c r="G414" i="4" s="1"/>
  <c r="F413" i="4"/>
  <c r="G413" i="4" s="1"/>
  <c r="G412" i="4" s="1"/>
  <c r="E412" i="4"/>
  <c r="D412" i="4"/>
  <c r="F411" i="4"/>
  <c r="G411" i="4" s="1"/>
  <c r="F410" i="4"/>
  <c r="G410" i="4" s="1"/>
  <c r="F409" i="4"/>
  <c r="G409" i="4" s="1"/>
  <c r="F408" i="4"/>
  <c r="G408" i="4" s="1"/>
  <c r="E407" i="4"/>
  <c r="D407" i="4"/>
  <c r="F406" i="4"/>
  <c r="G406" i="4" s="1"/>
  <c r="F405" i="4"/>
  <c r="G405" i="4" s="1"/>
  <c r="F404" i="4"/>
  <c r="G404" i="4" s="1"/>
  <c r="F403" i="4"/>
  <c r="G403" i="4" s="1"/>
  <c r="E402" i="4"/>
  <c r="D402" i="4"/>
  <c r="F401" i="4"/>
  <c r="G401" i="4" s="1"/>
  <c r="G400" i="4" s="1"/>
  <c r="E400" i="4"/>
  <c r="D400" i="4"/>
  <c r="F399" i="4"/>
  <c r="G399" i="4" s="1"/>
  <c r="F398" i="4"/>
  <c r="F397" i="4"/>
  <c r="G397" i="4" s="1"/>
  <c r="F396" i="4"/>
  <c r="G396" i="4" s="1"/>
  <c r="F395" i="4"/>
  <c r="G395" i="4" s="1"/>
  <c r="F394" i="4"/>
  <c r="G394" i="4" s="1"/>
  <c r="E393" i="4"/>
  <c r="D393" i="4"/>
  <c r="F392" i="4"/>
  <c r="G392" i="4" s="1"/>
  <c r="F391" i="4"/>
  <c r="G391" i="4" s="1"/>
  <c r="F390" i="4"/>
  <c r="G390" i="4" s="1"/>
  <c r="F389" i="4"/>
  <c r="G389" i="4" s="1"/>
  <c r="F388" i="4"/>
  <c r="E387" i="4"/>
  <c r="D387" i="4"/>
  <c r="F383" i="4"/>
  <c r="E382" i="4"/>
  <c r="D382" i="4"/>
  <c r="F381" i="4"/>
  <c r="F380" i="4"/>
  <c r="E379" i="4"/>
  <c r="D379" i="4"/>
  <c r="F378" i="4"/>
  <c r="F377" i="4"/>
  <c r="E376" i="4"/>
  <c r="D376" i="4"/>
  <c r="D375" i="4" s="1"/>
  <c r="F373" i="4"/>
  <c r="F372" i="4"/>
  <c r="E371" i="4"/>
  <c r="D371" i="4"/>
  <c r="F370" i="4"/>
  <c r="E369" i="4"/>
  <c r="D369" i="4"/>
  <c r="F368" i="4"/>
  <c r="F367" i="4"/>
  <c r="F366" i="4"/>
  <c r="F365" i="4"/>
  <c r="F364" i="4"/>
  <c r="F363" i="4"/>
  <c r="F362" i="4"/>
  <c r="E361" i="4"/>
  <c r="D361" i="4"/>
  <c r="F360" i="4"/>
  <c r="E359" i="4"/>
  <c r="D359" i="4"/>
  <c r="F358" i="4"/>
  <c r="F357" i="4"/>
  <c r="E356" i="4"/>
  <c r="D356" i="4"/>
  <c r="F355" i="4"/>
  <c r="F354" i="4"/>
  <c r="F353" i="4"/>
  <c r="E352" i="4"/>
  <c r="D352" i="4"/>
  <c r="F351" i="4"/>
  <c r="E350" i="4"/>
  <c r="D350" i="4"/>
  <c r="F349" i="4"/>
  <c r="E348" i="4"/>
  <c r="D348" i="4"/>
  <c r="F347" i="4"/>
  <c r="F346" i="4"/>
  <c r="F345" i="4"/>
  <c r="F344" i="4"/>
  <c r="F343" i="4"/>
  <c r="E342" i="4"/>
  <c r="D342" i="4"/>
  <c r="F341" i="4"/>
  <c r="F340" i="4"/>
  <c r="E339" i="4"/>
  <c r="D339" i="4"/>
  <c r="F335" i="4"/>
  <c r="F334" i="4"/>
  <c r="G333" i="4"/>
  <c r="G332" i="4" s="1"/>
  <c r="G322" i="4"/>
  <c r="G319" i="4"/>
  <c r="F318" i="4"/>
  <c r="G318" i="4" s="1"/>
  <c r="E317" i="4"/>
  <c r="F317" i="4" s="1"/>
  <c r="G317" i="4" s="1"/>
  <c r="F314" i="4"/>
  <c r="G313" i="4"/>
  <c r="F313" i="4"/>
  <c r="G312" i="4"/>
  <c r="F312" i="4"/>
  <c r="F310" i="4"/>
  <c r="G309" i="4"/>
  <c r="F309" i="4"/>
  <c r="F308" i="4"/>
  <c r="G307" i="4"/>
  <c r="F307" i="4"/>
  <c r="F306" i="4"/>
  <c r="F305" i="4"/>
  <c r="F304" i="4"/>
  <c r="F303" i="4"/>
  <c r="G302" i="4"/>
  <c r="F302" i="4"/>
  <c r="F301" i="4"/>
  <c r="F300" i="4"/>
  <c r="F299" i="4"/>
  <c r="G298" i="4"/>
  <c r="F298" i="4"/>
  <c r="F297" i="4"/>
  <c r="F296" i="4"/>
  <c r="F295" i="4"/>
  <c r="G294" i="4"/>
  <c r="F294" i="4"/>
  <c r="F293" i="4"/>
  <c r="F292" i="4"/>
  <c r="F291" i="4"/>
  <c r="G290" i="4"/>
  <c r="F290" i="4"/>
  <c r="F289" i="4"/>
  <c r="F288" i="4"/>
  <c r="F287" i="4"/>
  <c r="G286" i="4"/>
  <c r="F286" i="4"/>
  <c r="F285" i="4"/>
  <c r="F284" i="4"/>
  <c r="F283" i="4"/>
  <c r="F282" i="4"/>
  <c r="F281" i="4"/>
  <c r="G280" i="4"/>
  <c r="F280" i="4"/>
  <c r="F279" i="4"/>
  <c r="F278" i="4"/>
  <c r="G277" i="4"/>
  <c r="F277" i="4"/>
  <c r="F276" i="4"/>
  <c r="G275" i="4"/>
  <c r="F275" i="4"/>
  <c r="F274" i="4"/>
  <c r="F271" i="4"/>
  <c r="D270" i="4"/>
  <c r="F267" i="4"/>
  <c r="F265" i="4"/>
  <c r="D264" i="4"/>
  <c r="F264" i="4" s="1"/>
  <c r="F263" i="4"/>
  <c r="F262" i="4"/>
  <c r="F261" i="4"/>
  <c r="F260" i="4"/>
  <c r="F259" i="4"/>
  <c r="G258" i="4"/>
  <c r="D258" i="4"/>
  <c r="F258" i="4" s="1"/>
  <c r="F257" i="4"/>
  <c r="D256" i="4"/>
  <c r="F256" i="4" s="1"/>
  <c r="F255" i="4"/>
  <c r="D254" i="4"/>
  <c r="F254" i="4" s="1"/>
  <c r="F253" i="4"/>
  <c r="F252" i="4"/>
  <c r="G251" i="4"/>
  <c r="D251" i="4"/>
  <c r="F251" i="4" s="1"/>
  <c r="F250" i="4"/>
  <c r="F249" i="4"/>
  <c r="F248" i="4"/>
  <c r="F247" i="4"/>
  <c r="F246" i="4"/>
  <c r="F245" i="4"/>
  <c r="F244" i="4"/>
  <c r="G243" i="4"/>
  <c r="G242" i="4" s="1"/>
  <c r="G241" i="4" s="1"/>
  <c r="D243" i="4"/>
  <c r="E242" i="4"/>
  <c r="E241" i="4" s="1"/>
  <c r="F238" i="4"/>
  <c r="G238" i="4" s="1"/>
  <c r="E237" i="4"/>
  <c r="F236" i="4"/>
  <c r="G236" i="4" s="1"/>
  <c r="E235" i="4"/>
  <c r="F234" i="4"/>
  <c r="G234" i="4" s="1"/>
  <c r="F233" i="4"/>
  <c r="G233" i="4" s="1"/>
  <c r="E232" i="4"/>
  <c r="F231" i="4"/>
  <c r="G231" i="4" s="1"/>
  <c r="F230" i="4"/>
  <c r="G230" i="4" s="1"/>
  <c r="E229" i="4"/>
  <c r="F229" i="4" s="1"/>
  <c r="F228" i="4"/>
  <c r="G228" i="4" s="1"/>
  <c r="F227" i="4"/>
  <c r="G227" i="4" s="1"/>
  <c r="F226" i="4"/>
  <c r="G226" i="4" s="1"/>
  <c r="E225" i="4"/>
  <c r="F224" i="4"/>
  <c r="G224" i="4" s="1"/>
  <c r="F223" i="4"/>
  <c r="G223" i="4" s="1"/>
  <c r="E222" i="4"/>
  <c r="F218" i="4"/>
  <c r="G218" i="4" s="1"/>
  <c r="E217" i="4"/>
  <c r="F216" i="4"/>
  <c r="G216" i="4" s="1"/>
  <c r="E215" i="4"/>
  <c r="F215" i="4" s="1"/>
  <c r="F214" i="4"/>
  <c r="G214" i="4" s="1"/>
  <c r="E213" i="4"/>
  <c r="F213" i="4" s="1"/>
  <c r="F212" i="4"/>
  <c r="G212" i="4" s="1"/>
  <c r="E211" i="4"/>
  <c r="F208" i="4"/>
  <c r="F207" i="4"/>
  <c r="F206" i="4"/>
  <c r="G205" i="4"/>
  <c r="E205" i="4"/>
  <c r="F205" i="4" s="1"/>
  <c r="F204" i="4"/>
  <c r="F203" i="4"/>
  <c r="F202" i="4"/>
  <c r="F201" i="4"/>
  <c r="G200" i="4"/>
  <c r="E200" i="4"/>
  <c r="F200" i="4" s="1"/>
  <c r="F199" i="4"/>
  <c r="F198" i="4"/>
  <c r="F197" i="4"/>
  <c r="E196" i="4"/>
  <c r="F196" i="4" s="1"/>
  <c r="F195" i="4"/>
  <c r="F194" i="4"/>
  <c r="F193" i="4"/>
  <c r="G192" i="4"/>
  <c r="E192" i="4"/>
  <c r="F192" i="4" s="1"/>
  <c r="F191" i="4"/>
  <c r="F190" i="4"/>
  <c r="E189" i="4"/>
  <c r="F189" i="4" s="1"/>
  <c r="F188" i="4"/>
  <c r="E187" i="4"/>
  <c r="F187" i="4" s="1"/>
  <c r="F186" i="4"/>
  <c r="G186" i="4" s="1"/>
  <c r="G182" i="4" s="1"/>
  <c r="F185" i="4"/>
  <c r="F184" i="4"/>
  <c r="F183" i="4"/>
  <c r="E182" i="4"/>
  <c r="F182" i="4" s="1"/>
  <c r="G149" i="4"/>
  <c r="E149" i="4"/>
  <c r="D149" i="4"/>
  <c r="D146" i="4"/>
  <c r="F144" i="4"/>
  <c r="G144" i="4" s="1"/>
  <c r="F143" i="4"/>
  <c r="G143" i="4" s="1"/>
  <c r="F142" i="4"/>
  <c r="G142" i="4" s="1"/>
  <c r="F141" i="4"/>
  <c r="G141" i="4" s="1"/>
  <c r="F140" i="4"/>
  <c r="G140" i="4" s="1"/>
  <c r="F139" i="4"/>
  <c r="G139" i="4" s="1"/>
  <c r="F138" i="4"/>
  <c r="G138" i="4" s="1"/>
  <c r="E137" i="4"/>
  <c r="F137" i="4" s="1"/>
  <c r="G137" i="4" s="1"/>
  <c r="F136" i="4"/>
  <c r="G136" i="4" s="1"/>
  <c r="F135" i="4"/>
  <c r="G135" i="4" s="1"/>
  <c r="F134" i="4"/>
  <c r="G134" i="4" s="1"/>
  <c r="F133" i="4"/>
  <c r="G133" i="4" s="1"/>
  <c r="F132" i="4"/>
  <c r="G132" i="4" s="1"/>
  <c r="F131" i="4"/>
  <c r="G131" i="4" s="1"/>
  <c r="E130" i="4"/>
  <c r="F130" i="4" s="1"/>
  <c r="G130" i="4" s="1"/>
  <c r="F129" i="4"/>
  <c r="G129" i="4" s="1"/>
  <c r="E128" i="4"/>
  <c r="F128" i="4" s="1"/>
  <c r="G128" i="4" s="1"/>
  <c r="G126" i="4"/>
  <c r="F125" i="4"/>
  <c r="G125" i="4" s="1"/>
  <c r="E124" i="4"/>
  <c r="F124" i="4" s="1"/>
  <c r="G124" i="4" s="1"/>
  <c r="F123" i="4"/>
  <c r="G123" i="4" s="1"/>
  <c r="F122" i="4"/>
  <c r="G122" i="4" s="1"/>
  <c r="F121" i="4"/>
  <c r="G121" i="4" s="1"/>
  <c r="F120" i="4"/>
  <c r="G120" i="4" s="1"/>
  <c r="F119" i="4"/>
  <c r="G119" i="4" s="1"/>
  <c r="F118" i="4"/>
  <c r="G118" i="4" s="1"/>
  <c r="E117" i="4"/>
  <c r="F117" i="4" s="1"/>
  <c r="G117" i="4" s="1"/>
  <c r="F116" i="4"/>
  <c r="G116" i="4" s="1"/>
  <c r="E115" i="4"/>
  <c r="F115" i="4" s="1"/>
  <c r="G115" i="4" s="1"/>
  <c r="F114" i="4"/>
  <c r="G114" i="4" s="1"/>
  <c r="E113" i="4"/>
  <c r="F113" i="4" s="1"/>
  <c r="G113" i="4" s="1"/>
  <c r="D112" i="4"/>
  <c r="F110" i="4"/>
  <c r="G110" i="4" s="1"/>
  <c r="E109" i="4"/>
  <c r="F109" i="4" s="1"/>
  <c r="G109" i="4" s="1"/>
  <c r="F108" i="4"/>
  <c r="G108" i="4" s="1"/>
  <c r="E107" i="4"/>
  <c r="F107" i="4" s="1"/>
  <c r="G107" i="4" s="1"/>
  <c r="F106" i="4"/>
  <c r="G106" i="4" s="1"/>
  <c r="F105" i="4"/>
  <c r="G105" i="4" s="1"/>
  <c r="F104" i="4"/>
  <c r="G104" i="4" s="1"/>
  <c r="F103" i="4"/>
  <c r="G103" i="4" s="1"/>
  <c r="F102" i="4"/>
  <c r="G102" i="4" s="1"/>
  <c r="F101" i="4"/>
  <c r="G101" i="4" s="1"/>
  <c r="E100" i="4"/>
  <c r="F100" i="4" s="1"/>
  <c r="G100" i="4" s="1"/>
  <c r="F99" i="4"/>
  <c r="G99" i="4" s="1"/>
  <c r="E98" i="4"/>
  <c r="F98" i="4" s="1"/>
  <c r="G98" i="4" s="1"/>
  <c r="F97" i="4"/>
  <c r="G97" i="4" s="1"/>
  <c r="F96" i="4"/>
  <c r="G96" i="4" s="1"/>
  <c r="E96" i="4"/>
  <c r="F95" i="4"/>
  <c r="G95" i="4" s="1"/>
  <c r="F94" i="4"/>
  <c r="G94" i="4" s="1"/>
  <c r="E93" i="4"/>
  <c r="F90" i="4"/>
  <c r="G90" i="4" s="1"/>
  <c r="F89" i="4"/>
  <c r="G89" i="4" s="1"/>
  <c r="E88" i="4"/>
  <c r="D88" i="4"/>
  <c r="D15" i="4" s="1"/>
  <c r="D14" i="4" s="1"/>
  <c r="F87" i="4"/>
  <c r="G87" i="4" s="1"/>
  <c r="E86" i="4"/>
  <c r="F86" i="4" s="1"/>
  <c r="G86" i="4" s="1"/>
  <c r="F85" i="4"/>
  <c r="G85" i="4" s="1"/>
  <c r="F84" i="4"/>
  <c r="G84" i="4" s="1"/>
  <c r="F83" i="4"/>
  <c r="G83" i="4" s="1"/>
  <c r="E82" i="4"/>
  <c r="F82" i="4" s="1"/>
  <c r="G82" i="4" s="1"/>
  <c r="F81" i="4"/>
  <c r="G81" i="4" s="1"/>
  <c r="F80" i="4"/>
  <c r="G80" i="4" s="1"/>
  <c r="F79" i="4"/>
  <c r="G79" i="4" s="1"/>
  <c r="E78" i="4"/>
  <c r="F78" i="4" s="1"/>
  <c r="G78" i="4" s="1"/>
  <c r="F77" i="4"/>
  <c r="G77" i="4" s="1"/>
  <c r="F76" i="4"/>
  <c r="G76" i="4" s="1"/>
  <c r="F75" i="4"/>
  <c r="G75" i="4" s="1"/>
  <c r="F74" i="4"/>
  <c r="G74" i="4" s="1"/>
  <c r="F73" i="4"/>
  <c r="G73" i="4" s="1"/>
  <c r="F72" i="4"/>
  <c r="G72" i="4" s="1"/>
  <c r="F71" i="4"/>
  <c r="G71" i="4" s="1"/>
  <c r="F70" i="4"/>
  <c r="G70" i="4" s="1"/>
  <c r="F69" i="4"/>
  <c r="G69" i="4" s="1"/>
  <c r="F68" i="4"/>
  <c r="G68" i="4" s="1"/>
  <c r="E67" i="4"/>
  <c r="F67" i="4" s="1"/>
  <c r="G67" i="4" s="1"/>
  <c r="F66" i="4"/>
  <c r="G66" i="4" s="1"/>
  <c r="F65" i="4"/>
  <c r="G65" i="4" s="1"/>
  <c r="F64" i="4"/>
  <c r="G64" i="4" s="1"/>
  <c r="E63" i="4"/>
  <c r="F63" i="4" s="1"/>
  <c r="G63" i="4" s="1"/>
  <c r="F62" i="4"/>
  <c r="G62" i="4" s="1"/>
  <c r="F61" i="4"/>
  <c r="G61" i="4" s="1"/>
  <c r="F60" i="4"/>
  <c r="G60" i="4" s="1"/>
  <c r="E59" i="4"/>
  <c r="F59" i="4" s="1"/>
  <c r="G59" i="4" s="1"/>
  <c r="F58" i="4"/>
  <c r="G58" i="4" s="1"/>
  <c r="F57" i="4"/>
  <c r="G57" i="4" s="1"/>
  <c r="F56" i="4"/>
  <c r="G56" i="4" s="1"/>
  <c r="F55" i="4"/>
  <c r="G55" i="4" s="1"/>
  <c r="F54" i="4"/>
  <c r="G54" i="4" s="1"/>
  <c r="F53" i="4"/>
  <c r="G53" i="4" s="1"/>
  <c r="F52" i="4"/>
  <c r="G52" i="4" s="1"/>
  <c r="F51" i="4"/>
  <c r="G51" i="4" s="1"/>
  <c r="F50" i="4"/>
  <c r="G50" i="4" s="1"/>
  <c r="F49" i="4"/>
  <c r="G49" i="4" s="1"/>
  <c r="F48" i="4"/>
  <c r="G48" i="4" s="1"/>
  <c r="E47" i="4"/>
  <c r="F47" i="4" s="1"/>
  <c r="G47" i="4" s="1"/>
  <c r="F46" i="4"/>
  <c r="G46" i="4" s="1"/>
  <c r="F45" i="4"/>
  <c r="G45" i="4" s="1"/>
  <c r="E44" i="4"/>
  <c r="F44" i="4" s="1"/>
  <c r="G44" i="4" s="1"/>
  <c r="F43" i="4"/>
  <c r="G43" i="4" s="1"/>
  <c r="F42" i="4"/>
  <c r="G42" i="4" s="1"/>
  <c r="F41" i="4"/>
  <c r="G41" i="4" s="1"/>
  <c r="E40" i="4"/>
  <c r="F40" i="4" s="1"/>
  <c r="G40" i="4" s="1"/>
  <c r="F39" i="4"/>
  <c r="G39" i="4" s="1"/>
  <c r="F38" i="4"/>
  <c r="G38" i="4" s="1"/>
  <c r="F37" i="4"/>
  <c r="G37" i="4" s="1"/>
  <c r="F36" i="4"/>
  <c r="G36" i="4" s="1"/>
  <c r="F35" i="4"/>
  <c r="G35" i="4" s="1"/>
  <c r="F34" i="4"/>
  <c r="G34" i="4" s="1"/>
  <c r="E33" i="4"/>
  <c r="F33" i="4" s="1"/>
  <c r="G33" i="4" s="1"/>
  <c r="F32" i="4"/>
  <c r="G32" i="4" s="1"/>
  <c r="E31" i="4"/>
  <c r="F31" i="4" s="1"/>
  <c r="G31" i="4" s="1"/>
  <c r="F30" i="4"/>
  <c r="G30" i="4" s="1"/>
  <c r="F29" i="4"/>
  <c r="G29" i="4" s="1"/>
  <c r="F28" i="4"/>
  <c r="G28" i="4" s="1"/>
  <c r="F27" i="4"/>
  <c r="G27" i="4" s="1"/>
  <c r="F26" i="4"/>
  <c r="G26" i="4" s="1"/>
  <c r="F25" i="4"/>
  <c r="G25" i="4" s="1"/>
  <c r="F24" i="4"/>
  <c r="G24" i="4" s="1"/>
  <c r="F23" i="4"/>
  <c r="G23" i="4" s="1"/>
  <c r="F22" i="4"/>
  <c r="G22" i="4" s="1"/>
  <c r="E21" i="4"/>
  <c r="F21" i="4" s="1"/>
  <c r="G21" i="4" s="1"/>
  <c r="F20" i="4"/>
  <c r="G20" i="4" s="1"/>
  <c r="F19" i="4"/>
  <c r="G19" i="4" s="1"/>
  <c r="E18" i="4"/>
  <c r="F18" i="4" s="1"/>
  <c r="G18" i="4" s="1"/>
  <c r="F17" i="4"/>
  <c r="G17" i="4" s="1"/>
  <c r="E16" i="4"/>
  <c r="F16" i="4" s="1"/>
  <c r="G16" i="4" s="1"/>
  <c r="B8" i="4"/>
  <c r="E1395" i="3"/>
  <c r="E1394" i="3"/>
  <c r="F1393" i="3"/>
  <c r="D1393" i="3"/>
  <c r="C1393" i="3"/>
  <c r="E1392" i="3"/>
  <c r="E1391" i="3"/>
  <c r="F1390" i="3"/>
  <c r="D1390" i="3"/>
  <c r="C1390" i="3"/>
  <c r="E1389" i="3"/>
  <c r="E1388" i="3"/>
  <c r="E1387" i="3"/>
  <c r="E1386" i="3"/>
  <c r="E1385" i="3"/>
  <c r="E1384" i="3"/>
  <c r="E1383" i="3"/>
  <c r="E1382" i="3"/>
  <c r="E1381" i="3"/>
  <c r="F1380" i="3"/>
  <c r="D1380" i="3"/>
  <c r="C1380" i="3"/>
  <c r="E1379" i="3"/>
  <c r="F1378" i="3"/>
  <c r="D1378" i="3"/>
  <c r="C1378" i="3"/>
  <c r="E1377" i="3"/>
  <c r="E1376" i="3"/>
  <c r="E1375" i="3"/>
  <c r="E1374" i="3"/>
  <c r="E1373" i="3"/>
  <c r="E1372" i="3"/>
  <c r="E1371" i="3"/>
  <c r="E1370" i="3"/>
  <c r="E1369" i="3"/>
  <c r="F1368" i="3"/>
  <c r="D1368" i="3"/>
  <c r="C1368" i="3"/>
  <c r="E1367" i="3"/>
  <c r="E1366" i="3"/>
  <c r="E1365" i="3"/>
  <c r="F1364" i="3"/>
  <c r="D1364" i="3"/>
  <c r="C1364" i="3"/>
  <c r="E1360" i="3"/>
  <c r="D1359" i="3"/>
  <c r="C1359" i="3"/>
  <c r="E1358" i="3"/>
  <c r="E1357" i="3"/>
  <c r="D1356" i="3"/>
  <c r="C1356" i="3"/>
  <c r="E1355" i="3"/>
  <c r="E1354" i="3"/>
  <c r="E1353" i="3"/>
  <c r="E1352" i="3"/>
  <c r="E1351" i="3"/>
  <c r="E1350" i="3"/>
  <c r="E1349" i="3"/>
  <c r="E1348" i="3"/>
  <c r="E1347" i="3"/>
  <c r="E1346" i="3"/>
  <c r="E1345" i="3"/>
  <c r="D1344" i="3"/>
  <c r="C1344" i="3"/>
  <c r="E1343" i="3"/>
  <c r="E1342" i="3"/>
  <c r="E1341" i="3"/>
  <c r="E1340" i="3"/>
  <c r="E1339" i="3"/>
  <c r="E1338" i="3"/>
  <c r="E1337" i="3"/>
  <c r="E1336" i="3"/>
  <c r="E1335" i="3"/>
  <c r="E1334" i="3"/>
  <c r="E1333" i="3"/>
  <c r="E1332" i="3"/>
  <c r="E1331" i="3"/>
  <c r="E1330" i="3"/>
  <c r="D1329" i="3"/>
  <c r="C1329" i="3"/>
  <c r="E1328" i="3"/>
  <c r="E1327" i="3"/>
  <c r="E1326" i="3"/>
  <c r="E1325" i="3"/>
  <c r="D1324" i="3"/>
  <c r="E1324" i="3" s="1"/>
  <c r="C1323" i="3"/>
  <c r="F1321" i="3"/>
  <c r="E1319" i="3"/>
  <c r="E1318" i="3"/>
  <c r="E1317" i="3"/>
  <c r="E1316" i="3"/>
  <c r="E1315" i="3"/>
  <c r="E1314" i="3"/>
  <c r="E1313" i="3"/>
  <c r="D1310" i="3"/>
  <c r="C1310" i="3"/>
  <c r="E1308" i="3"/>
  <c r="E1307" i="3"/>
  <c r="E1306" i="3"/>
  <c r="E1305" i="3"/>
  <c r="D1304" i="3"/>
  <c r="C1304" i="3"/>
  <c r="E1303" i="3"/>
  <c r="D1302" i="3"/>
  <c r="C1302" i="3"/>
  <c r="E1301" i="3"/>
  <c r="D1300" i="3"/>
  <c r="C1300" i="3"/>
  <c r="E1299" i="3"/>
  <c r="E1298" i="3"/>
  <c r="E1297" i="3"/>
  <c r="D1296" i="3"/>
  <c r="C1296" i="3"/>
  <c r="E1295" i="3"/>
  <c r="E1294" i="3"/>
  <c r="D1293" i="3"/>
  <c r="C1293" i="3"/>
  <c r="E1289" i="3"/>
  <c r="F1289" i="3" s="1"/>
  <c r="E1288" i="3"/>
  <c r="F1288" i="3" s="1"/>
  <c r="D1287" i="3"/>
  <c r="C1287" i="3"/>
  <c r="E1286" i="3"/>
  <c r="F1286" i="3" s="1"/>
  <c r="E1285" i="3"/>
  <c r="F1285" i="3" s="1"/>
  <c r="D1284" i="3"/>
  <c r="C1284" i="3"/>
  <c r="E1283" i="3"/>
  <c r="F1283" i="3" s="1"/>
  <c r="E1282" i="3"/>
  <c r="F1282" i="3" s="1"/>
  <c r="E1281" i="3"/>
  <c r="F1281" i="3" s="1"/>
  <c r="E1280" i="3"/>
  <c r="F1280" i="3" s="1"/>
  <c r="E1279" i="3"/>
  <c r="F1279" i="3" s="1"/>
  <c r="E1278" i="3"/>
  <c r="F1278" i="3" s="1"/>
  <c r="E1277" i="3"/>
  <c r="F1277" i="3" s="1"/>
  <c r="E1276" i="3"/>
  <c r="F1276" i="3" s="1"/>
  <c r="D1275" i="3"/>
  <c r="C1275" i="3"/>
  <c r="E1274" i="3"/>
  <c r="F1274" i="3" s="1"/>
  <c r="E1273" i="3"/>
  <c r="F1273" i="3" s="1"/>
  <c r="E1272" i="3"/>
  <c r="F1272" i="3" s="1"/>
  <c r="E1271" i="3"/>
  <c r="F1271" i="3" s="1"/>
  <c r="E1270" i="3"/>
  <c r="F1270" i="3" s="1"/>
  <c r="E1269" i="3"/>
  <c r="F1269" i="3" s="1"/>
  <c r="E1268" i="3"/>
  <c r="F1268" i="3" s="1"/>
  <c r="E1267" i="3"/>
  <c r="F1267" i="3" s="1"/>
  <c r="E1266" i="3"/>
  <c r="F1266" i="3" s="1"/>
  <c r="E1265" i="3"/>
  <c r="F1265" i="3" s="1"/>
  <c r="E1264" i="3"/>
  <c r="F1264" i="3" s="1"/>
  <c r="E1263" i="3"/>
  <c r="F1263" i="3" s="1"/>
  <c r="E1262" i="3"/>
  <c r="F1262" i="3" s="1"/>
  <c r="D1261" i="3"/>
  <c r="C1261" i="3"/>
  <c r="E1260" i="3"/>
  <c r="F1260" i="3" s="1"/>
  <c r="E1259" i="3"/>
  <c r="F1259" i="3" s="1"/>
  <c r="E1258" i="3"/>
  <c r="F1258" i="3" s="1"/>
  <c r="E1257" i="3"/>
  <c r="F1257" i="3" s="1"/>
  <c r="E1256" i="3"/>
  <c r="F1256" i="3" s="1"/>
  <c r="E1255" i="3"/>
  <c r="F1255" i="3" s="1"/>
  <c r="D1254" i="3"/>
  <c r="C1254" i="3"/>
  <c r="E1250" i="3"/>
  <c r="F1250" i="3" s="1"/>
  <c r="E1249" i="3"/>
  <c r="F1249" i="3" s="1"/>
  <c r="E1248" i="3"/>
  <c r="F1248" i="3" s="1"/>
  <c r="E1247" i="3"/>
  <c r="F1247" i="3" s="1"/>
  <c r="E1246" i="3"/>
  <c r="F1246" i="3" s="1"/>
  <c r="E1245" i="3"/>
  <c r="F1245" i="3" s="1"/>
  <c r="E1244" i="3"/>
  <c r="F1244" i="3" s="1"/>
  <c r="E1243" i="3"/>
  <c r="F1243" i="3" s="1"/>
  <c r="D1242" i="3"/>
  <c r="D1241" i="3" s="1"/>
  <c r="C1242" i="3"/>
  <c r="C1241" i="3" s="1"/>
  <c r="E1239" i="3"/>
  <c r="D1238" i="3"/>
  <c r="C1238" i="3"/>
  <c r="E1237" i="3"/>
  <c r="D1236" i="3"/>
  <c r="C1236" i="3"/>
  <c r="E1235" i="3"/>
  <c r="E1234" i="3"/>
  <c r="E1233" i="3"/>
  <c r="E1232" i="3"/>
  <c r="E1231" i="3"/>
  <c r="E1230" i="3"/>
  <c r="F1229" i="3"/>
  <c r="D1229" i="3"/>
  <c r="C1229" i="3"/>
  <c r="E1228" i="3"/>
  <c r="F1227" i="3"/>
  <c r="D1227" i="3"/>
  <c r="C1227" i="3"/>
  <c r="E1223" i="3"/>
  <c r="E1222" i="3"/>
  <c r="E1221" i="3"/>
  <c r="E1220" i="3"/>
  <c r="E1219" i="3"/>
  <c r="E1218" i="3"/>
  <c r="F1217" i="3"/>
  <c r="D1217" i="3"/>
  <c r="E1217" i="3" s="1"/>
  <c r="E1216" i="3"/>
  <c r="D1215" i="3"/>
  <c r="E1215" i="3" s="1"/>
  <c r="E1214" i="3"/>
  <c r="E1213" i="3"/>
  <c r="E1212" i="3"/>
  <c r="E1211" i="3"/>
  <c r="E1210" i="3"/>
  <c r="D1209" i="3"/>
  <c r="E1209" i="3" s="1"/>
  <c r="E1208" i="3"/>
  <c r="E1207" i="3"/>
  <c r="D1206" i="3"/>
  <c r="E1206" i="3" s="1"/>
  <c r="E1205" i="3"/>
  <c r="E1204" i="3"/>
  <c r="E1203" i="3"/>
  <c r="E1202" i="3"/>
  <c r="E1201" i="3"/>
  <c r="E1200" i="3"/>
  <c r="E1199" i="3"/>
  <c r="D1198" i="3"/>
  <c r="E1198" i="3" s="1"/>
  <c r="E1197" i="3"/>
  <c r="E1196" i="3"/>
  <c r="E1195" i="3"/>
  <c r="E1194" i="3"/>
  <c r="F1193" i="3"/>
  <c r="D1193" i="3"/>
  <c r="E1193" i="3" s="1"/>
  <c r="C1192" i="3"/>
  <c r="C1191" i="3" s="1"/>
  <c r="C1190" i="3" s="1"/>
  <c r="E1188" i="3"/>
  <c r="F1187" i="3"/>
  <c r="F1186" i="3" s="1"/>
  <c r="D1187" i="3"/>
  <c r="D1186" i="3" s="1"/>
  <c r="C1187" i="3"/>
  <c r="C1186" i="3" s="1"/>
  <c r="E1184" i="3"/>
  <c r="E1183" i="3"/>
  <c r="E1182" i="3"/>
  <c r="F1181" i="3"/>
  <c r="D1181" i="3"/>
  <c r="C1181" i="3"/>
  <c r="E1180" i="3"/>
  <c r="E1179" i="3"/>
  <c r="D1178" i="3"/>
  <c r="C1178" i="3"/>
  <c r="E1177" i="3"/>
  <c r="E1176" i="3"/>
  <c r="F1175" i="3"/>
  <c r="D1175" i="3"/>
  <c r="C1175" i="3"/>
  <c r="E1174" i="3"/>
  <c r="E1173" i="3"/>
  <c r="F1172" i="3"/>
  <c r="D1172" i="3"/>
  <c r="C1172" i="3"/>
  <c r="E1171" i="3"/>
  <c r="E1170" i="3"/>
  <c r="E1169" i="3"/>
  <c r="E1168" i="3"/>
  <c r="E1167" i="3"/>
  <c r="E1166" i="3"/>
  <c r="F1165" i="3"/>
  <c r="D1165" i="3"/>
  <c r="C1165" i="3"/>
  <c r="F1158" i="3"/>
  <c r="D1158" i="3"/>
  <c r="C1158" i="3"/>
  <c r="E1156" i="3"/>
  <c r="E1155" i="3"/>
  <c r="D1154" i="3"/>
  <c r="C1154" i="3"/>
  <c r="E1153" i="3"/>
  <c r="E1152" i="3"/>
  <c r="E1151" i="3"/>
  <c r="E1150" i="3"/>
  <c r="F1149" i="3"/>
  <c r="F1136" i="3" s="1"/>
  <c r="D1149" i="3"/>
  <c r="C1149" i="3"/>
  <c r="E1148" i="3"/>
  <c r="D1147" i="3"/>
  <c r="C1147" i="3"/>
  <c r="E1146" i="3"/>
  <c r="E1145" i="3"/>
  <c r="E1144" i="3"/>
  <c r="E1143" i="3"/>
  <c r="E1142" i="3"/>
  <c r="E1141" i="3"/>
  <c r="E1140" i="3"/>
  <c r="E1139" i="3"/>
  <c r="E1138" i="3"/>
  <c r="D1137" i="3"/>
  <c r="C1137" i="3"/>
  <c r="F1133" i="3"/>
  <c r="E1133" i="3"/>
  <c r="F1132" i="3"/>
  <c r="E1132" i="3"/>
  <c r="D1131" i="3"/>
  <c r="C1131" i="3"/>
  <c r="F1130" i="3"/>
  <c r="E1130" i="3"/>
  <c r="D1129" i="3"/>
  <c r="C1129" i="3"/>
  <c r="F1128" i="3"/>
  <c r="E1128" i="3"/>
  <c r="F1127" i="3"/>
  <c r="E1127" i="3"/>
  <c r="F1126" i="3"/>
  <c r="E1126" i="3"/>
  <c r="F1125" i="3"/>
  <c r="E1125" i="3"/>
  <c r="F1124" i="3"/>
  <c r="E1124" i="3"/>
  <c r="F1123" i="3"/>
  <c r="E1123" i="3"/>
  <c r="F1122" i="3"/>
  <c r="E1122" i="3"/>
  <c r="D1121" i="3"/>
  <c r="C1121" i="3"/>
  <c r="F1120" i="3"/>
  <c r="E1120" i="3"/>
  <c r="F1119" i="3"/>
  <c r="E1119" i="3"/>
  <c r="F1118" i="3"/>
  <c r="E1118" i="3"/>
  <c r="F1117" i="3"/>
  <c r="E1117" i="3"/>
  <c r="F1116" i="3"/>
  <c r="E1116" i="3"/>
  <c r="D1115" i="3"/>
  <c r="C1115" i="3"/>
  <c r="E1111" i="3"/>
  <c r="D1110" i="3"/>
  <c r="E1110" i="3" s="1"/>
  <c r="E1109" i="3"/>
  <c r="E1108" i="3"/>
  <c r="D1107" i="3"/>
  <c r="E1107" i="3" s="1"/>
  <c r="E1106" i="3"/>
  <c r="E1105" i="3"/>
  <c r="D1104" i="3"/>
  <c r="E1104" i="3" s="1"/>
  <c r="E1103" i="3"/>
  <c r="E1102" i="3"/>
  <c r="E1101" i="3"/>
  <c r="E1100" i="3"/>
  <c r="E1099" i="3"/>
  <c r="E1098" i="3"/>
  <c r="E1097" i="3"/>
  <c r="E1096" i="3"/>
  <c r="E1095" i="3"/>
  <c r="E1094" i="3"/>
  <c r="E1093" i="3"/>
  <c r="D1092" i="3"/>
  <c r="E1092" i="3" s="1"/>
  <c r="E1091" i="3"/>
  <c r="D1090" i="3"/>
  <c r="F1088" i="3"/>
  <c r="C1088" i="3"/>
  <c r="E1086" i="3"/>
  <c r="F1086" i="3" s="1"/>
  <c r="D1085" i="3"/>
  <c r="E1085" i="3" s="1"/>
  <c r="F1085" i="3" s="1"/>
  <c r="E1084" i="3"/>
  <c r="F1084" i="3" s="1"/>
  <c r="D1083" i="3"/>
  <c r="E1083" i="3" s="1"/>
  <c r="F1083" i="3" s="1"/>
  <c r="E1082" i="3"/>
  <c r="F1082" i="3" s="1"/>
  <c r="D1081" i="3"/>
  <c r="E1081" i="3" s="1"/>
  <c r="F1081" i="3" s="1"/>
  <c r="E1080" i="3"/>
  <c r="F1080" i="3" s="1"/>
  <c r="E1079" i="3"/>
  <c r="F1079" i="3" s="1"/>
  <c r="E1078" i="3"/>
  <c r="F1078" i="3" s="1"/>
  <c r="E1077" i="3"/>
  <c r="F1077" i="3" s="1"/>
  <c r="E1076" i="3"/>
  <c r="F1076" i="3" s="1"/>
  <c r="E1075" i="3"/>
  <c r="F1075" i="3" s="1"/>
  <c r="D1074" i="3"/>
  <c r="C1074" i="3"/>
  <c r="E1073" i="3"/>
  <c r="F1073" i="3" s="1"/>
  <c r="E1072" i="3"/>
  <c r="F1072" i="3" s="1"/>
  <c r="E1071" i="3"/>
  <c r="F1071" i="3" s="1"/>
  <c r="E1070" i="3"/>
  <c r="F1070" i="3" s="1"/>
  <c r="E1069" i="3"/>
  <c r="F1069" i="3" s="1"/>
  <c r="E1068" i="3"/>
  <c r="F1068" i="3" s="1"/>
  <c r="E1067" i="3"/>
  <c r="F1067" i="3" s="1"/>
  <c r="E1066" i="3"/>
  <c r="F1066" i="3" s="1"/>
  <c r="E1065" i="3"/>
  <c r="F1065" i="3" s="1"/>
  <c r="E1064" i="3"/>
  <c r="F1064" i="3" s="1"/>
  <c r="E1063" i="3"/>
  <c r="F1063" i="3" s="1"/>
  <c r="E1062" i="3"/>
  <c r="F1062" i="3" s="1"/>
  <c r="E1061" i="3"/>
  <c r="F1061" i="3" s="1"/>
  <c r="E1060" i="3"/>
  <c r="F1060" i="3" s="1"/>
  <c r="E1059" i="3"/>
  <c r="F1059" i="3" s="1"/>
  <c r="E1058" i="3"/>
  <c r="F1058" i="3" s="1"/>
  <c r="E1057" i="3"/>
  <c r="F1057" i="3" s="1"/>
  <c r="E1056" i="3"/>
  <c r="F1056" i="3" s="1"/>
  <c r="E1055" i="3"/>
  <c r="F1055" i="3" s="1"/>
  <c r="E1054" i="3"/>
  <c r="F1054" i="3" s="1"/>
  <c r="E1053" i="3"/>
  <c r="F1053" i="3" s="1"/>
  <c r="E1052" i="3"/>
  <c r="F1052" i="3" s="1"/>
  <c r="D1051" i="3"/>
  <c r="C1051" i="3"/>
  <c r="E1049" i="3"/>
  <c r="F1049" i="3" s="1"/>
  <c r="E1048" i="3"/>
  <c r="F1048" i="3" s="1"/>
  <c r="E1047" i="3"/>
  <c r="F1047" i="3" s="1"/>
  <c r="E1046" i="3"/>
  <c r="F1046" i="3" s="1"/>
  <c r="E1045" i="3"/>
  <c r="F1045" i="3" s="1"/>
  <c r="E1044" i="3"/>
  <c r="F1044" i="3" s="1"/>
  <c r="E1043" i="3"/>
  <c r="F1043" i="3" s="1"/>
  <c r="D1042" i="3"/>
  <c r="C1042" i="3"/>
  <c r="E1022" i="3"/>
  <c r="E1021" i="3"/>
  <c r="E1020" i="3"/>
  <c r="E1019" i="3"/>
  <c r="E1017" i="3"/>
  <c r="E1016" i="3"/>
  <c r="F1011" i="3"/>
  <c r="E1005" i="3"/>
  <c r="D1004" i="3"/>
  <c r="E1004" i="3" s="1"/>
  <c r="E1003" i="3"/>
  <c r="E1002" i="3"/>
  <c r="E1001" i="3"/>
  <c r="D1000" i="3"/>
  <c r="E1000" i="3" s="1"/>
  <c r="E999" i="3"/>
  <c r="E998" i="3"/>
  <c r="E997" i="3"/>
  <c r="E996" i="3"/>
  <c r="E995" i="3"/>
  <c r="E994" i="3"/>
  <c r="E993" i="3"/>
  <c r="D992" i="3"/>
  <c r="E992" i="3" s="1"/>
  <c r="E991" i="3"/>
  <c r="E990" i="3"/>
  <c r="E989" i="3"/>
  <c r="E988" i="3"/>
  <c r="E987" i="3"/>
  <c r="E986" i="3"/>
  <c r="E985" i="3"/>
  <c r="E984" i="3"/>
  <c r="E983" i="3"/>
  <c r="E982" i="3"/>
  <c r="E981" i="3"/>
  <c r="E980" i="3"/>
  <c r="D979" i="3"/>
  <c r="E979" i="3" s="1"/>
  <c r="E978" i="3"/>
  <c r="E977" i="3"/>
  <c r="E976" i="3"/>
  <c r="D975" i="3"/>
  <c r="E975" i="3" s="1"/>
  <c r="F973" i="3"/>
  <c r="E971" i="3"/>
  <c r="E970" i="3" s="1"/>
  <c r="D970" i="3"/>
  <c r="C970" i="3"/>
  <c r="C936" i="3" s="1"/>
  <c r="E968" i="3"/>
  <c r="E967" i="3"/>
  <c r="D966" i="3"/>
  <c r="E966" i="3" s="1"/>
  <c r="E965" i="3"/>
  <c r="F965" i="3" s="1"/>
  <c r="F964" i="3" s="1"/>
  <c r="D964" i="3"/>
  <c r="E964" i="3" s="1"/>
  <c r="E963" i="3"/>
  <c r="E962" i="3"/>
  <c r="D961" i="3"/>
  <c r="E961" i="3" s="1"/>
  <c r="F961" i="3" s="1"/>
  <c r="E960" i="3"/>
  <c r="D959" i="3"/>
  <c r="E959" i="3" s="1"/>
  <c r="F959" i="3" s="1"/>
  <c r="E958" i="3"/>
  <c r="D957" i="3"/>
  <c r="E957" i="3" s="1"/>
  <c r="D956" i="3"/>
  <c r="E956" i="3" s="1"/>
  <c r="D954" i="3"/>
  <c r="E954" i="3" s="1"/>
  <c r="D953" i="3"/>
  <c r="E953" i="3" s="1"/>
  <c r="E952" i="3"/>
  <c r="E951" i="3"/>
  <c r="E950" i="3"/>
  <c r="E949" i="3"/>
  <c r="D948" i="3"/>
  <c r="E948" i="3" s="1"/>
  <c r="F948" i="3" s="1"/>
  <c r="E947" i="3"/>
  <c r="E946" i="3"/>
  <c r="E945" i="3"/>
  <c r="F945" i="3" s="1"/>
  <c r="E943" i="3"/>
  <c r="E942" i="3"/>
  <c r="E941" i="3"/>
  <c r="F941" i="3" s="1"/>
  <c r="E940" i="3"/>
  <c r="F940" i="3" s="1"/>
  <c r="E939" i="3"/>
  <c r="F939" i="3" s="1"/>
  <c r="D938" i="3"/>
  <c r="E938" i="3" s="1"/>
  <c r="E934" i="3"/>
  <c r="E933" i="3"/>
  <c r="E932" i="3"/>
  <c r="E931" i="3"/>
  <c r="E930" i="3"/>
  <c r="E929" i="3"/>
  <c r="E928" i="3"/>
  <c r="E927" i="3"/>
  <c r="F926" i="3"/>
  <c r="F925" i="3" s="1"/>
  <c r="D926" i="3"/>
  <c r="C926" i="3"/>
  <c r="E923" i="3"/>
  <c r="E922" i="3"/>
  <c r="F921" i="3"/>
  <c r="D921" i="3"/>
  <c r="E921" i="3" s="1"/>
  <c r="E920" i="3"/>
  <c r="E919" i="3"/>
  <c r="F918" i="3"/>
  <c r="D918" i="3"/>
  <c r="E918" i="3" s="1"/>
  <c r="E917" i="3"/>
  <c r="E916" i="3"/>
  <c r="E915" i="3"/>
  <c r="E914" i="3"/>
  <c r="E913" i="3"/>
  <c r="F912" i="3"/>
  <c r="D912" i="3"/>
  <c r="E912" i="3" s="1"/>
  <c r="E911" i="3"/>
  <c r="E910" i="3"/>
  <c r="E909" i="3"/>
  <c r="F908" i="3"/>
  <c r="D908" i="3"/>
  <c r="E908" i="3" s="1"/>
  <c r="C906" i="3"/>
  <c r="E904" i="3"/>
  <c r="F904" i="3" s="1"/>
  <c r="D903" i="3"/>
  <c r="E903" i="3" s="1"/>
  <c r="F903" i="3" s="1"/>
  <c r="F901" i="3"/>
  <c r="E900" i="3"/>
  <c r="F900" i="3" s="1"/>
  <c r="E899" i="3"/>
  <c r="F899" i="3" s="1"/>
  <c r="E898" i="3"/>
  <c r="F898" i="3" s="1"/>
  <c r="E897" i="3"/>
  <c r="F897" i="3" s="1"/>
  <c r="E896" i="3"/>
  <c r="F896" i="3" s="1"/>
  <c r="E895" i="3"/>
  <c r="F895" i="3" s="1"/>
  <c r="E894" i="3"/>
  <c r="F894" i="3" s="1"/>
  <c r="E893" i="3"/>
  <c r="F893" i="3" s="1"/>
  <c r="E892" i="3"/>
  <c r="F892" i="3" s="1"/>
  <c r="D891" i="3"/>
  <c r="E891" i="3" s="1"/>
  <c r="F891" i="3" s="1"/>
  <c r="E890" i="3"/>
  <c r="F890" i="3" s="1"/>
  <c r="E889" i="3"/>
  <c r="F889" i="3" s="1"/>
  <c r="D888" i="3"/>
  <c r="E888" i="3" s="1"/>
  <c r="F888" i="3" s="1"/>
  <c r="E887" i="3"/>
  <c r="F887" i="3" s="1"/>
  <c r="E886" i="3"/>
  <c r="F886" i="3" s="1"/>
  <c r="E885" i="3"/>
  <c r="F885" i="3" s="1"/>
  <c r="E884" i="3"/>
  <c r="F884" i="3" s="1"/>
  <c r="E883" i="3"/>
  <c r="F883" i="3" s="1"/>
  <c r="E882" i="3"/>
  <c r="F882" i="3" s="1"/>
  <c r="D881" i="3"/>
  <c r="E881" i="3" s="1"/>
  <c r="F881" i="3" s="1"/>
  <c r="E880" i="3"/>
  <c r="F880" i="3" s="1"/>
  <c r="E879" i="3"/>
  <c r="F879" i="3" s="1"/>
  <c r="E878" i="3"/>
  <c r="F878" i="3" s="1"/>
  <c r="E877" i="3"/>
  <c r="F877" i="3" s="1"/>
  <c r="E876" i="3"/>
  <c r="F876" i="3" s="1"/>
  <c r="D875" i="3"/>
  <c r="E875" i="3" s="1"/>
  <c r="F875" i="3" s="1"/>
  <c r="C873" i="3"/>
  <c r="C872" i="3" s="1"/>
  <c r="E870" i="3"/>
  <c r="E869" i="3"/>
  <c r="E868" i="3"/>
  <c r="E867" i="3"/>
  <c r="E866" i="3"/>
  <c r="E865" i="3"/>
  <c r="E864" i="3"/>
  <c r="E863" i="3"/>
  <c r="F862" i="3"/>
  <c r="F861" i="3" s="1"/>
  <c r="D862" i="3"/>
  <c r="D861" i="3" s="1"/>
  <c r="C862" i="3"/>
  <c r="C861" i="3" s="1"/>
  <c r="E859" i="3"/>
  <c r="E858" i="3"/>
  <c r="E857" i="3"/>
  <c r="E856" i="3"/>
  <c r="F855" i="3"/>
  <c r="D855" i="3"/>
  <c r="E855" i="3" s="1"/>
  <c r="E853" i="3"/>
  <c r="E852" i="3"/>
  <c r="E851" i="3"/>
  <c r="E850" i="3"/>
  <c r="E849" i="3"/>
  <c r="E848" i="3"/>
  <c r="F847" i="3"/>
  <c r="D847" i="3"/>
  <c r="E847" i="3" s="1"/>
  <c r="E845" i="3"/>
  <c r="E844" i="3"/>
  <c r="E843" i="3"/>
  <c r="F842" i="3"/>
  <c r="D842" i="3"/>
  <c r="E842" i="3" s="1"/>
  <c r="E840" i="3"/>
  <c r="E839" i="3"/>
  <c r="E838" i="3"/>
  <c r="E837" i="3"/>
  <c r="E836" i="3"/>
  <c r="E835" i="3"/>
  <c r="E834" i="3"/>
  <c r="E833" i="3"/>
  <c r="E832" i="3"/>
  <c r="F831" i="3"/>
  <c r="D831" i="3"/>
  <c r="E831" i="3" s="1"/>
  <c r="E829" i="3"/>
  <c r="E828" i="3"/>
  <c r="E827" i="3"/>
  <c r="E826" i="3"/>
  <c r="E825" i="3"/>
  <c r="E824" i="3"/>
  <c r="E823" i="3"/>
  <c r="F822" i="3"/>
  <c r="D822" i="3"/>
  <c r="E822" i="3" s="1"/>
  <c r="E820" i="3"/>
  <c r="E819" i="3"/>
  <c r="E818" i="3"/>
  <c r="E817" i="3"/>
  <c r="E816" i="3"/>
  <c r="E815" i="3"/>
  <c r="E814" i="3"/>
  <c r="E813" i="3"/>
  <c r="E812" i="3"/>
  <c r="E811" i="3"/>
  <c r="E810" i="3"/>
  <c r="E809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F795" i="3"/>
  <c r="D795" i="3"/>
  <c r="E795" i="3" s="1"/>
  <c r="E794" i="3"/>
  <c r="E793" i="3"/>
  <c r="E792" i="3"/>
  <c r="F791" i="3"/>
  <c r="F790" i="3" s="1"/>
  <c r="F789" i="3" s="1"/>
  <c r="D791" i="3"/>
  <c r="E791" i="3" s="1"/>
  <c r="C790" i="3"/>
  <c r="C789" i="3" s="1"/>
  <c r="E787" i="3"/>
  <c r="D786" i="3"/>
  <c r="C786" i="3"/>
  <c r="C785" i="3" s="1"/>
  <c r="C760" i="3" s="1"/>
  <c r="E783" i="3"/>
  <c r="D782" i="3"/>
  <c r="E781" i="3"/>
  <c r="E780" i="3"/>
  <c r="F780" i="3" s="1"/>
  <c r="F779" i="3" s="1"/>
  <c r="D779" i="3"/>
  <c r="E778" i="3"/>
  <c r="E777" i="3"/>
  <c r="F777" i="3" s="1"/>
  <c r="E776" i="3"/>
  <c r="F776" i="3" s="1"/>
  <c r="E775" i="3"/>
  <c r="E774" i="3"/>
  <c r="E773" i="3"/>
  <c r="F773" i="3" s="1"/>
  <c r="E772" i="3"/>
  <c r="D771" i="3"/>
  <c r="E770" i="3"/>
  <c r="E769" i="3"/>
  <c r="E768" i="3"/>
  <c r="E767" i="3"/>
  <c r="E766" i="3"/>
  <c r="E765" i="3"/>
  <c r="D764" i="3"/>
  <c r="E763" i="3"/>
  <c r="D762" i="3"/>
  <c r="E752" i="3"/>
  <c r="F751" i="3"/>
  <c r="D751" i="3"/>
  <c r="C751" i="3"/>
  <c r="E750" i="3"/>
  <c r="E749" i="3"/>
  <c r="E748" i="3"/>
  <c r="E747" i="3"/>
  <c r="F746" i="3"/>
  <c r="D746" i="3"/>
  <c r="C746" i="3"/>
  <c r="E745" i="3"/>
  <c r="E744" i="3"/>
  <c r="E743" i="3"/>
  <c r="E741" i="3"/>
  <c r="E740" i="3"/>
  <c r="E739" i="3"/>
  <c r="E738" i="3"/>
  <c r="F737" i="3"/>
  <c r="C737" i="3"/>
  <c r="E736" i="3"/>
  <c r="E735" i="3"/>
  <c r="E734" i="3"/>
  <c r="E733" i="3"/>
  <c r="E732" i="3"/>
  <c r="E731" i="3"/>
  <c r="E730" i="3"/>
  <c r="E729" i="3"/>
  <c r="E728" i="3"/>
  <c r="E727" i="3"/>
  <c r="F726" i="3"/>
  <c r="D726" i="3"/>
  <c r="C726" i="3"/>
  <c r="E725" i="3"/>
  <c r="E724" i="3"/>
  <c r="F723" i="3"/>
  <c r="D723" i="3"/>
  <c r="C723" i="3"/>
  <c r="D719" i="3"/>
  <c r="E719" i="3" s="1"/>
  <c r="F719" i="3" s="1"/>
  <c r="E718" i="3"/>
  <c r="D717" i="3"/>
  <c r="E717" i="3" s="1"/>
  <c r="F717" i="3" s="1"/>
  <c r="D716" i="3"/>
  <c r="E716" i="3" s="1"/>
  <c r="F716" i="3" s="1"/>
  <c r="D715" i="3"/>
  <c r="C714" i="3"/>
  <c r="C713" i="3" s="1"/>
  <c r="C712" i="3" s="1"/>
  <c r="C689" i="3" s="1"/>
  <c r="E710" i="3"/>
  <c r="F710" i="3" s="1"/>
  <c r="D709" i="3"/>
  <c r="E709" i="3" s="1"/>
  <c r="F709" i="3" s="1"/>
  <c r="E708" i="3"/>
  <c r="F708" i="3" s="1"/>
  <c r="D707" i="3"/>
  <c r="E707" i="3" s="1"/>
  <c r="F707" i="3" s="1"/>
  <c r="E706" i="3"/>
  <c r="F706" i="3" s="1"/>
  <c r="D705" i="3"/>
  <c r="E705" i="3" s="1"/>
  <c r="F705" i="3" s="1"/>
  <c r="E704" i="3"/>
  <c r="F704" i="3" s="1"/>
  <c r="E703" i="3"/>
  <c r="F703" i="3" s="1"/>
  <c r="E702" i="3"/>
  <c r="F702" i="3" s="1"/>
  <c r="D701" i="3"/>
  <c r="E701" i="3" s="1"/>
  <c r="E700" i="3"/>
  <c r="F700" i="3" s="1"/>
  <c r="E699" i="3"/>
  <c r="F699" i="3" s="1"/>
  <c r="E698" i="3"/>
  <c r="F698" i="3" s="1"/>
  <c r="E697" i="3"/>
  <c r="F697" i="3" s="1"/>
  <c r="E696" i="3"/>
  <c r="F696" i="3" s="1"/>
  <c r="E695" i="3"/>
  <c r="F695" i="3" s="1"/>
  <c r="D694" i="3"/>
  <c r="C694" i="3"/>
  <c r="E693" i="3"/>
  <c r="F693" i="3" s="1"/>
  <c r="E692" i="3"/>
  <c r="F692" i="3" s="1"/>
  <c r="D691" i="3"/>
  <c r="E691" i="3" s="1"/>
  <c r="E687" i="3"/>
  <c r="F686" i="3"/>
  <c r="F685" i="3" s="1"/>
  <c r="E686" i="3"/>
  <c r="E685" i="3"/>
  <c r="E683" i="3"/>
  <c r="F682" i="3"/>
  <c r="E682" i="3"/>
  <c r="E681" i="3"/>
  <c r="E680" i="3"/>
  <c r="F679" i="3"/>
  <c r="D679" i="3"/>
  <c r="C679" i="3"/>
  <c r="E678" i="3"/>
  <c r="E677" i="3"/>
  <c r="E676" i="3"/>
  <c r="E674" i="3"/>
  <c r="F673" i="3"/>
  <c r="D673" i="3"/>
  <c r="E672" i="3"/>
  <c r="D671" i="3"/>
  <c r="C671" i="3"/>
  <c r="E670" i="3"/>
  <c r="F669" i="3"/>
  <c r="D669" i="3"/>
  <c r="E669" i="3" s="1"/>
  <c r="E668" i="3"/>
  <c r="F667" i="3"/>
  <c r="D667" i="3"/>
  <c r="E667" i="3" s="1"/>
  <c r="E666" i="3"/>
  <c r="F665" i="3"/>
  <c r="D665" i="3"/>
  <c r="E665" i="3" s="1"/>
  <c r="E661" i="3"/>
  <c r="F661" i="3" s="1"/>
  <c r="E660" i="3"/>
  <c r="F660" i="3" s="1"/>
  <c r="E659" i="3"/>
  <c r="F659" i="3" s="1"/>
  <c r="C658" i="3"/>
  <c r="C657" i="3" s="1"/>
  <c r="E657" i="3" s="1"/>
  <c r="F657" i="3" s="1"/>
  <c r="F656" i="3"/>
  <c r="E655" i="3"/>
  <c r="F655" i="3" s="1"/>
  <c r="D654" i="3"/>
  <c r="C654" i="3"/>
  <c r="E653" i="3"/>
  <c r="F653" i="3" s="1"/>
  <c r="D652" i="3"/>
  <c r="C652" i="3"/>
  <c r="E651" i="3"/>
  <c r="F651" i="3" s="1"/>
  <c r="E650" i="3"/>
  <c r="F650" i="3" s="1"/>
  <c r="D649" i="3"/>
  <c r="C649" i="3"/>
  <c r="E648" i="3"/>
  <c r="F648" i="3" s="1"/>
  <c r="E647" i="3"/>
  <c r="F647" i="3" s="1"/>
  <c r="E646" i="3"/>
  <c r="F646" i="3" s="1"/>
  <c r="D645" i="3"/>
  <c r="C645" i="3"/>
  <c r="E644" i="3"/>
  <c r="F644" i="3" s="1"/>
  <c r="E643" i="3"/>
  <c r="F643" i="3" s="1"/>
  <c r="D642" i="3"/>
  <c r="C642" i="3"/>
  <c r="E641" i="3"/>
  <c r="F641" i="3" s="1"/>
  <c r="E640" i="3"/>
  <c r="F640" i="3" s="1"/>
  <c r="D639" i="3"/>
  <c r="C639" i="3"/>
  <c r="E638" i="3"/>
  <c r="F638" i="3" s="1"/>
  <c r="E637" i="3"/>
  <c r="F637" i="3" s="1"/>
  <c r="E636" i="3"/>
  <c r="F636" i="3" s="1"/>
  <c r="E635" i="3"/>
  <c r="F635" i="3" s="1"/>
  <c r="E634" i="3"/>
  <c r="F634" i="3" s="1"/>
  <c r="E633" i="3"/>
  <c r="F633" i="3" s="1"/>
  <c r="E632" i="3"/>
  <c r="F632" i="3" s="1"/>
  <c r="E631" i="3"/>
  <c r="F631" i="3" s="1"/>
  <c r="E630" i="3"/>
  <c r="F630" i="3" s="1"/>
  <c r="E629" i="3"/>
  <c r="F629" i="3" s="1"/>
  <c r="E628" i="3"/>
  <c r="F628" i="3" s="1"/>
  <c r="E627" i="3"/>
  <c r="F627" i="3" s="1"/>
  <c r="D626" i="3"/>
  <c r="C626" i="3"/>
  <c r="E625" i="3"/>
  <c r="F625" i="3" s="1"/>
  <c r="E624" i="3"/>
  <c r="F624" i="3" s="1"/>
  <c r="E623" i="3"/>
  <c r="F623" i="3" s="1"/>
  <c r="E622" i="3"/>
  <c r="F622" i="3" s="1"/>
  <c r="E621" i="3"/>
  <c r="F621" i="3" s="1"/>
  <c r="E620" i="3"/>
  <c r="F620" i="3" s="1"/>
  <c r="E619" i="3"/>
  <c r="F619" i="3" s="1"/>
  <c r="D618" i="3"/>
  <c r="C618" i="3"/>
  <c r="E605" i="3"/>
  <c r="F605" i="3" s="1"/>
  <c r="E604" i="3"/>
  <c r="F604" i="3" s="1"/>
  <c r="E603" i="3"/>
  <c r="E602" i="3"/>
  <c r="F602" i="3" s="1"/>
  <c r="E601" i="3"/>
  <c r="F601" i="3" s="1"/>
  <c r="E600" i="3"/>
  <c r="F600" i="3" s="1"/>
  <c r="D599" i="3"/>
  <c r="C599" i="3"/>
  <c r="C598" i="3" s="1"/>
  <c r="E593" i="3"/>
  <c r="E592" i="3"/>
  <c r="E591" i="3"/>
  <c r="F591" i="3" s="1"/>
  <c r="E590" i="3"/>
  <c r="F590" i="3" s="1"/>
  <c r="D589" i="3"/>
  <c r="C589" i="3"/>
  <c r="E585" i="3"/>
  <c r="D584" i="3"/>
  <c r="C584" i="3"/>
  <c r="E583" i="3"/>
  <c r="E582" i="3"/>
  <c r="E581" i="3"/>
  <c r="E580" i="3"/>
  <c r="D579" i="3"/>
  <c r="C579" i="3"/>
  <c r="E578" i="3"/>
  <c r="E577" i="3"/>
  <c r="E576" i="3"/>
  <c r="E575" i="3"/>
  <c r="D574" i="3"/>
  <c r="C574" i="3"/>
  <c r="E573" i="3"/>
  <c r="E572" i="3"/>
  <c r="E571" i="3"/>
  <c r="E570" i="3"/>
  <c r="D569" i="3"/>
  <c r="C569" i="3"/>
  <c r="E568" i="3"/>
  <c r="E567" i="3"/>
  <c r="E566" i="3"/>
  <c r="D565" i="3"/>
  <c r="C565" i="3"/>
  <c r="E564" i="3"/>
  <c r="E563" i="3"/>
  <c r="E562" i="3"/>
  <c r="E561" i="3"/>
  <c r="E560" i="3"/>
  <c r="E559" i="3"/>
  <c r="E558" i="3"/>
  <c r="E557" i="3"/>
  <c r="E556" i="3"/>
  <c r="E555" i="3"/>
  <c r="E554" i="3"/>
  <c r="E553" i="3"/>
  <c r="E552" i="3"/>
  <c r="E551" i="3"/>
  <c r="E550" i="3"/>
  <c r="D549" i="3"/>
  <c r="C549" i="3"/>
  <c r="E548" i="3"/>
  <c r="E547" i="3"/>
  <c r="E546" i="3"/>
  <c r="E545" i="3"/>
  <c r="E544" i="3"/>
  <c r="E543" i="3"/>
  <c r="E542" i="3"/>
  <c r="E541" i="3"/>
  <c r="E540" i="3"/>
  <c r="E539" i="3"/>
  <c r="E538" i="3"/>
  <c r="D537" i="3"/>
  <c r="C537" i="3"/>
  <c r="F536" i="3"/>
  <c r="C524" i="3"/>
  <c r="C516" i="3"/>
  <c r="C508" i="3"/>
  <c r="C506" i="3"/>
  <c r="C504" i="3"/>
  <c r="C494" i="3"/>
  <c r="C490" i="3"/>
  <c r="F488" i="3"/>
  <c r="D488" i="3"/>
  <c r="E486" i="3"/>
  <c r="D485" i="3"/>
  <c r="C485" i="3"/>
  <c r="E484" i="3"/>
  <c r="D483" i="3"/>
  <c r="C483" i="3"/>
  <c r="E480" i="3"/>
  <c r="D479" i="3"/>
  <c r="C479" i="3"/>
  <c r="C478" i="3" s="1"/>
  <c r="E476" i="3"/>
  <c r="D474" i="3"/>
  <c r="C474" i="3"/>
  <c r="C473" i="3" s="1"/>
  <c r="E471" i="3"/>
  <c r="D470" i="3"/>
  <c r="C470" i="3"/>
  <c r="E469" i="3"/>
  <c r="E468" i="3"/>
  <c r="E467" i="3"/>
  <c r="E466" i="3"/>
  <c r="D465" i="3"/>
  <c r="C465" i="3"/>
  <c r="E462" i="3"/>
  <c r="D461" i="3"/>
  <c r="C461" i="3"/>
  <c r="E460" i="3"/>
  <c r="D459" i="3"/>
  <c r="C459" i="3"/>
  <c r="E458" i="3"/>
  <c r="E457" i="3"/>
  <c r="E456" i="3"/>
  <c r="E455" i="3"/>
  <c r="E454" i="3"/>
  <c r="E453" i="3"/>
  <c r="D452" i="3"/>
  <c r="C452" i="3"/>
  <c r="E451" i="3"/>
  <c r="E450" i="3"/>
  <c r="E449" i="3"/>
  <c r="E448" i="3"/>
  <c r="E447" i="3"/>
  <c r="D446" i="3"/>
  <c r="C446" i="3"/>
  <c r="E445" i="3"/>
  <c r="E444" i="3"/>
  <c r="E443" i="3"/>
  <c r="E442" i="3"/>
  <c r="E441" i="3"/>
  <c r="E440" i="3"/>
  <c r="D439" i="3"/>
  <c r="C439" i="3"/>
  <c r="F437" i="3"/>
  <c r="F436" i="3" s="1"/>
  <c r="E434" i="3"/>
  <c r="F434" i="3" s="1"/>
  <c r="D433" i="3"/>
  <c r="E433" i="3" s="1"/>
  <c r="F433" i="3" s="1"/>
  <c r="F427" i="3"/>
  <c r="D427" i="3"/>
  <c r="C427" i="3"/>
  <c r="F421" i="3"/>
  <c r="D421" i="3"/>
  <c r="C421" i="3"/>
  <c r="E420" i="3"/>
  <c r="E419" i="3"/>
  <c r="E418" i="3"/>
  <c r="E417" i="3"/>
  <c r="E416" i="3"/>
  <c r="E415" i="3"/>
  <c r="E414" i="3"/>
  <c r="E413" i="3"/>
  <c r="F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F380" i="3"/>
  <c r="E380" i="3"/>
  <c r="F371" i="3"/>
  <c r="E367" i="3"/>
  <c r="E366" i="3"/>
  <c r="E365" i="3"/>
  <c r="E364" i="3"/>
  <c r="E363" i="3" s="1"/>
  <c r="F363" i="3"/>
  <c r="D363" i="3"/>
  <c r="C363" i="3"/>
  <c r="E361" i="3"/>
  <c r="F361" i="3" s="1"/>
  <c r="F360" i="3" s="1"/>
  <c r="F359" i="3" s="1"/>
  <c r="D360" i="3"/>
  <c r="D359" i="3" s="1"/>
  <c r="C360" i="3"/>
  <c r="E357" i="3"/>
  <c r="E356" i="3"/>
  <c r="F354" i="3"/>
  <c r="E354" i="3"/>
  <c r="E353" i="3"/>
  <c r="E352" i="3"/>
  <c r="E351" i="3"/>
  <c r="F350" i="3"/>
  <c r="C350" i="3"/>
  <c r="E350" i="3" s="1"/>
  <c r="E349" i="3"/>
  <c r="E348" i="3"/>
  <c r="E347" i="3"/>
  <c r="E346" i="3"/>
  <c r="E345" i="3"/>
  <c r="E344" i="3"/>
  <c r="E343" i="3"/>
  <c r="E342" i="3"/>
  <c r="F341" i="3"/>
  <c r="C341" i="3"/>
  <c r="E341" i="3" s="1"/>
  <c r="E340" i="3"/>
  <c r="E339" i="3"/>
  <c r="E338" i="3"/>
  <c r="E337" i="3"/>
  <c r="E336" i="3"/>
  <c r="E335" i="3"/>
  <c r="E334" i="3"/>
  <c r="E333" i="3"/>
  <c r="E332" i="3"/>
  <c r="E331" i="3"/>
  <c r="F330" i="3"/>
  <c r="D330" i="3"/>
  <c r="C330" i="3"/>
  <c r="E329" i="3"/>
  <c r="E328" i="3"/>
  <c r="E327" i="3"/>
  <c r="E326" i="3"/>
  <c r="E325" i="3"/>
  <c r="E324" i="3"/>
  <c r="E323" i="3"/>
  <c r="E322" i="3"/>
  <c r="E321" i="3"/>
  <c r="E320" i="3"/>
  <c r="D319" i="3"/>
  <c r="C319" i="3"/>
  <c r="E315" i="3"/>
  <c r="F315" i="3" s="1"/>
  <c r="D314" i="3"/>
  <c r="E314" i="3" s="1"/>
  <c r="F314" i="3" s="1"/>
  <c r="E313" i="3"/>
  <c r="F313" i="3" s="1"/>
  <c r="D312" i="3"/>
  <c r="E309" i="3"/>
  <c r="F309" i="3" s="1"/>
  <c r="D308" i="3"/>
  <c r="C308" i="3"/>
  <c r="C305" i="3" s="1"/>
  <c r="E307" i="3"/>
  <c r="F307" i="3" s="1"/>
  <c r="D306" i="3"/>
  <c r="E303" i="3"/>
  <c r="F303" i="3" s="1"/>
  <c r="D302" i="3"/>
  <c r="C302" i="3"/>
  <c r="E301" i="3"/>
  <c r="F301" i="3" s="1"/>
  <c r="D300" i="3"/>
  <c r="C300" i="3"/>
  <c r="E297" i="3"/>
  <c r="F297" i="3" s="1"/>
  <c r="E296" i="3"/>
  <c r="F296" i="3" s="1"/>
  <c r="D295" i="3"/>
  <c r="D294" i="3" s="1"/>
  <c r="C295" i="3"/>
  <c r="C294" i="3"/>
  <c r="E292" i="3"/>
  <c r="F292" i="3" s="1"/>
  <c r="D291" i="3"/>
  <c r="C291" i="3"/>
  <c r="E290" i="3"/>
  <c r="F290" i="3" s="1"/>
  <c r="D289" i="3"/>
  <c r="C289" i="3"/>
  <c r="E286" i="3"/>
  <c r="F286" i="3" s="1"/>
  <c r="D285" i="3"/>
  <c r="C285" i="3"/>
  <c r="E284" i="3"/>
  <c r="F284" i="3" s="1"/>
  <c r="E283" i="3"/>
  <c r="F283" i="3" s="1"/>
  <c r="D282" i="3"/>
  <c r="C282" i="3"/>
  <c r="E281" i="3"/>
  <c r="F281" i="3" s="1"/>
  <c r="E280" i="3"/>
  <c r="F280" i="3" s="1"/>
  <c r="E279" i="3"/>
  <c r="F279" i="3" s="1"/>
  <c r="E278" i="3"/>
  <c r="F278" i="3" s="1"/>
  <c r="D277" i="3"/>
  <c r="C277" i="3"/>
  <c r="E276" i="3"/>
  <c r="F276" i="3" s="1"/>
  <c r="D275" i="3"/>
  <c r="C275" i="3"/>
  <c r="E274" i="3"/>
  <c r="F274" i="3" s="1"/>
  <c r="E273" i="3"/>
  <c r="F273" i="3" s="1"/>
  <c r="E272" i="3"/>
  <c r="F272" i="3" s="1"/>
  <c r="E271" i="3"/>
  <c r="F271" i="3" s="1"/>
  <c r="E270" i="3"/>
  <c r="F270" i="3" s="1"/>
  <c r="E269" i="3"/>
  <c r="F269" i="3" s="1"/>
  <c r="E268" i="3"/>
  <c r="F268" i="3" s="1"/>
  <c r="E267" i="3"/>
  <c r="F267" i="3" s="1"/>
  <c r="E266" i="3"/>
  <c r="F266" i="3" s="1"/>
  <c r="E265" i="3"/>
  <c r="F265" i="3" s="1"/>
  <c r="E264" i="3"/>
  <c r="F264" i="3" s="1"/>
  <c r="E263" i="3"/>
  <c r="F263" i="3" s="1"/>
  <c r="E262" i="3"/>
  <c r="F262" i="3" s="1"/>
  <c r="E261" i="3"/>
  <c r="F261" i="3" s="1"/>
  <c r="D260" i="3"/>
  <c r="C260" i="3"/>
  <c r="E259" i="3"/>
  <c r="F259" i="3" s="1"/>
  <c r="E258" i="3"/>
  <c r="F258" i="3" s="1"/>
  <c r="E257" i="3"/>
  <c r="F257" i="3" s="1"/>
  <c r="E256" i="3"/>
  <c r="F256" i="3" s="1"/>
  <c r="E255" i="3"/>
  <c r="F255" i="3" s="1"/>
  <c r="D254" i="3"/>
  <c r="C254" i="3"/>
  <c r="D249" i="3"/>
  <c r="D248" i="3" s="1"/>
  <c r="C249" i="3"/>
  <c r="C248" i="3" s="1"/>
  <c r="C222" i="3" s="1"/>
  <c r="E246" i="3"/>
  <c r="F245" i="3"/>
  <c r="D245" i="3"/>
  <c r="E245" i="3" s="1"/>
  <c r="E244" i="3"/>
  <c r="E243" i="3" s="1"/>
  <c r="F243" i="3"/>
  <c r="D243" i="3"/>
  <c r="E242" i="3"/>
  <c r="E241" i="3"/>
  <c r="F240" i="3"/>
  <c r="D240" i="3"/>
  <c r="E240" i="3" s="1"/>
  <c r="E239" i="3"/>
  <c r="F238" i="3"/>
  <c r="D238" i="3"/>
  <c r="E238" i="3" s="1"/>
  <c r="E237" i="3"/>
  <c r="E236" i="3"/>
  <c r="E235" i="3"/>
  <c r="E234" i="3"/>
  <c r="E232" i="3"/>
  <c r="E231" i="3"/>
  <c r="E230" i="3"/>
  <c r="E229" i="3"/>
  <c r="E228" i="3"/>
  <c r="E227" i="3"/>
  <c r="F226" i="3"/>
  <c r="D226" i="3"/>
  <c r="E226" i="3" s="1"/>
  <c r="E225" i="3"/>
  <c r="E224" i="3" s="1"/>
  <c r="F224" i="3"/>
  <c r="D224" i="3"/>
  <c r="E217" i="3"/>
  <c r="F217" i="3" s="1"/>
  <c r="D216" i="3"/>
  <c r="C216" i="3"/>
  <c r="C215" i="3" s="1"/>
  <c r="E213" i="3"/>
  <c r="F213" i="3" s="1"/>
  <c r="D212" i="3"/>
  <c r="C212" i="3"/>
  <c r="E211" i="3"/>
  <c r="F211" i="3" s="1"/>
  <c r="E210" i="3"/>
  <c r="F210" i="3" s="1"/>
  <c r="E209" i="3"/>
  <c r="F209" i="3" s="1"/>
  <c r="E208" i="3"/>
  <c r="F208" i="3" s="1"/>
  <c r="E207" i="3"/>
  <c r="F207" i="3" s="1"/>
  <c r="E206" i="3"/>
  <c r="F206" i="3" s="1"/>
  <c r="E205" i="3"/>
  <c r="F205" i="3" s="1"/>
  <c r="E204" i="3"/>
  <c r="F204" i="3" s="1"/>
  <c r="E203" i="3"/>
  <c r="F203" i="3" s="1"/>
  <c r="E202" i="3"/>
  <c r="F202" i="3" s="1"/>
  <c r="E201" i="3"/>
  <c r="F201" i="3" s="1"/>
  <c r="E200" i="3"/>
  <c r="F200" i="3" s="1"/>
  <c r="E199" i="3"/>
  <c r="F199" i="3" s="1"/>
  <c r="D198" i="3"/>
  <c r="C198" i="3"/>
  <c r="E195" i="3"/>
  <c r="F195" i="3" s="1"/>
  <c r="D194" i="3"/>
  <c r="C193" i="3"/>
  <c r="E191" i="3"/>
  <c r="F191" i="3" s="1"/>
  <c r="D190" i="3"/>
  <c r="D189" i="3" s="1"/>
  <c r="C189" i="3"/>
  <c r="E187" i="3"/>
  <c r="F187" i="3" s="1"/>
  <c r="D186" i="3"/>
  <c r="C185" i="3"/>
  <c r="E183" i="3"/>
  <c r="E182" i="3" s="1"/>
  <c r="F182" i="3" s="1"/>
  <c r="D182" i="3"/>
  <c r="E181" i="3"/>
  <c r="F181" i="3" s="1"/>
  <c r="E180" i="3"/>
  <c r="F180" i="3" s="1"/>
  <c r="D179" i="3"/>
  <c r="E176" i="3"/>
  <c r="F176" i="3" s="1"/>
  <c r="D175" i="3"/>
  <c r="E175" i="3" s="1"/>
  <c r="F175" i="3" s="1"/>
  <c r="E174" i="3"/>
  <c r="F174" i="3" s="1"/>
  <c r="D173" i="3"/>
  <c r="E170" i="3"/>
  <c r="F170" i="3" s="1"/>
  <c r="D169" i="3"/>
  <c r="C169" i="3"/>
  <c r="E168" i="3"/>
  <c r="F168" i="3" s="1"/>
  <c r="D167" i="3"/>
  <c r="C167" i="3"/>
  <c r="E166" i="3"/>
  <c r="F166" i="3" s="1"/>
  <c r="E165" i="3"/>
  <c r="F165" i="3" s="1"/>
  <c r="E164" i="3"/>
  <c r="F164" i="3" s="1"/>
  <c r="E163" i="3"/>
  <c r="F163" i="3" s="1"/>
  <c r="E161" i="3"/>
  <c r="F161" i="3" s="1"/>
  <c r="D160" i="3"/>
  <c r="C160" i="3"/>
  <c r="E157" i="3"/>
  <c r="F157" i="3" s="1"/>
  <c r="D156" i="3"/>
  <c r="C156" i="3"/>
  <c r="C155" i="3" s="1"/>
  <c r="E153" i="3"/>
  <c r="F153" i="3" s="1"/>
  <c r="D152" i="3"/>
  <c r="D151" i="3" s="1"/>
  <c r="E149" i="3"/>
  <c r="F149" i="3" s="1"/>
  <c r="E148" i="3"/>
  <c r="F148" i="3" s="1"/>
  <c r="E147" i="3"/>
  <c r="F147" i="3" s="1"/>
  <c r="D146" i="3"/>
  <c r="C146" i="3"/>
  <c r="C145" i="3" s="1"/>
  <c r="E141" i="3"/>
  <c r="F141" i="3" s="1"/>
  <c r="D140" i="3"/>
  <c r="C140" i="3"/>
  <c r="C137" i="3" s="1"/>
  <c r="E139" i="3"/>
  <c r="F139" i="3" s="1"/>
  <c r="D138" i="3"/>
  <c r="E135" i="3"/>
  <c r="F135" i="3" s="1"/>
  <c r="E134" i="3"/>
  <c r="F134" i="3" s="1"/>
  <c r="E133" i="3"/>
  <c r="F133" i="3" s="1"/>
  <c r="D132" i="3"/>
  <c r="C132" i="3"/>
  <c r="E131" i="3"/>
  <c r="E130" i="3" s="1"/>
  <c r="F130" i="3" s="1"/>
  <c r="D130" i="3"/>
  <c r="C130" i="3"/>
  <c r="E129" i="3"/>
  <c r="F129" i="3" s="1"/>
  <c r="E128" i="3"/>
  <c r="F128" i="3" s="1"/>
  <c r="E127" i="3"/>
  <c r="F127" i="3" s="1"/>
  <c r="D126" i="3"/>
  <c r="C126" i="3"/>
  <c r="E123" i="3"/>
  <c r="F123" i="3" s="1"/>
  <c r="E122" i="3"/>
  <c r="D121" i="3"/>
  <c r="C121" i="3"/>
  <c r="E120" i="3"/>
  <c r="F120" i="3" s="1"/>
  <c r="D119" i="3"/>
  <c r="C119" i="3"/>
  <c r="E118" i="3"/>
  <c r="F118" i="3" s="1"/>
  <c r="E117" i="3"/>
  <c r="F117" i="3" s="1"/>
  <c r="E116" i="3"/>
  <c r="F116" i="3" s="1"/>
  <c r="D115" i="3"/>
  <c r="C115" i="3"/>
  <c r="E112" i="3"/>
  <c r="F112" i="3" s="1"/>
  <c r="D111" i="3"/>
  <c r="D110" i="3" s="1"/>
  <c r="C111" i="3"/>
  <c r="C110" i="3" s="1"/>
  <c r="E107" i="3"/>
  <c r="F107" i="3" s="1"/>
  <c r="D106" i="3"/>
  <c r="D105" i="3" s="1"/>
  <c r="C106" i="3"/>
  <c r="C105" i="3" s="1"/>
  <c r="E103" i="3"/>
  <c r="F103" i="3" s="1"/>
  <c r="D102" i="3"/>
  <c r="E102" i="3" s="1"/>
  <c r="F102" i="3" s="1"/>
  <c r="E101" i="3"/>
  <c r="F101" i="3" s="1"/>
  <c r="D100" i="3"/>
  <c r="C100" i="3"/>
  <c r="C97" i="3" s="1"/>
  <c r="E99" i="3"/>
  <c r="F99" i="3" s="1"/>
  <c r="D98" i="3"/>
  <c r="E95" i="3"/>
  <c r="F95" i="3" s="1"/>
  <c r="D94" i="3"/>
  <c r="E93" i="3"/>
  <c r="F93" i="3" s="1"/>
  <c r="E92" i="3"/>
  <c r="F92" i="3" s="1"/>
  <c r="E91" i="3"/>
  <c r="F91" i="3" s="1"/>
  <c r="D90" i="3"/>
  <c r="C90" i="3"/>
  <c r="E88" i="3"/>
  <c r="E87" i="3" s="1"/>
  <c r="F87" i="3" s="1"/>
  <c r="D87" i="3"/>
  <c r="C87" i="3"/>
  <c r="E86" i="3"/>
  <c r="F86" i="3" s="1"/>
  <c r="E85" i="3"/>
  <c r="F85" i="3" s="1"/>
  <c r="D84" i="3"/>
  <c r="E84" i="3" s="1"/>
  <c r="F84" i="3" s="1"/>
  <c r="E81" i="3"/>
  <c r="F81" i="3" s="1"/>
  <c r="E80" i="3"/>
  <c r="F80" i="3" s="1"/>
  <c r="E79" i="3"/>
  <c r="F79" i="3" s="1"/>
  <c r="E78" i="3"/>
  <c r="F78" i="3" s="1"/>
  <c r="E77" i="3"/>
  <c r="F77" i="3" s="1"/>
  <c r="E76" i="3"/>
  <c r="F76" i="3" s="1"/>
  <c r="E75" i="3"/>
  <c r="F75" i="3" s="1"/>
  <c r="E74" i="3"/>
  <c r="F74" i="3" s="1"/>
  <c r="E73" i="3"/>
  <c r="F73" i="3" s="1"/>
  <c r="E72" i="3"/>
  <c r="F72" i="3" s="1"/>
  <c r="E71" i="3"/>
  <c r="F71" i="3" s="1"/>
  <c r="E70" i="3"/>
  <c r="F70" i="3" s="1"/>
  <c r="D69" i="3"/>
  <c r="E69" i="3" s="1"/>
  <c r="F69" i="3" s="1"/>
  <c r="E68" i="3"/>
  <c r="F68" i="3" s="1"/>
  <c r="E67" i="3"/>
  <c r="F67" i="3" s="1"/>
  <c r="E66" i="3"/>
  <c r="F66" i="3" s="1"/>
  <c r="E65" i="3"/>
  <c r="F65" i="3" s="1"/>
  <c r="E64" i="3"/>
  <c r="F64" i="3" s="1"/>
  <c r="E63" i="3"/>
  <c r="F63" i="3" s="1"/>
  <c r="E62" i="3"/>
  <c r="F62" i="3" s="1"/>
  <c r="D61" i="3"/>
  <c r="E61" i="3" s="1"/>
  <c r="F61" i="3" s="1"/>
  <c r="E60" i="3"/>
  <c r="C58" i="3"/>
  <c r="E58" i="3" s="1"/>
  <c r="E57" i="3"/>
  <c r="F57" i="3" s="1"/>
  <c r="E56" i="3"/>
  <c r="F56" i="3" s="1"/>
  <c r="E55" i="3"/>
  <c r="F55" i="3" s="1"/>
  <c r="E54" i="3"/>
  <c r="F54" i="3" s="1"/>
  <c r="E53" i="3"/>
  <c r="F53" i="3" s="1"/>
  <c r="E52" i="3"/>
  <c r="F52" i="3" s="1"/>
  <c r="E51" i="3"/>
  <c r="F51" i="3" s="1"/>
  <c r="E50" i="3"/>
  <c r="F50" i="3" s="1"/>
  <c r="E49" i="3"/>
  <c r="F49" i="3" s="1"/>
  <c r="E48" i="3"/>
  <c r="F48" i="3" s="1"/>
  <c r="E47" i="3"/>
  <c r="F47" i="3" s="1"/>
  <c r="E46" i="3"/>
  <c r="F46" i="3" s="1"/>
  <c r="E45" i="3"/>
  <c r="F45" i="3" s="1"/>
  <c r="E44" i="3"/>
  <c r="F44" i="3" s="1"/>
  <c r="E43" i="3"/>
  <c r="F43" i="3" s="1"/>
  <c r="E42" i="3"/>
  <c r="F42" i="3" s="1"/>
  <c r="D41" i="3"/>
  <c r="C41" i="3"/>
  <c r="E40" i="3"/>
  <c r="F40" i="3" s="1"/>
  <c r="E39" i="3"/>
  <c r="F39" i="3" s="1"/>
  <c r="E38" i="3"/>
  <c r="F38" i="3" s="1"/>
  <c r="E37" i="3"/>
  <c r="F37" i="3" s="1"/>
  <c r="E36" i="3"/>
  <c r="F36" i="3" s="1"/>
  <c r="E35" i="3"/>
  <c r="F35" i="3" s="1"/>
  <c r="E34" i="3"/>
  <c r="F34" i="3" s="1"/>
  <c r="E33" i="3"/>
  <c r="F33" i="3" s="1"/>
  <c r="D32" i="3"/>
  <c r="E32" i="3" s="1"/>
  <c r="F32" i="3" s="1"/>
  <c r="E31" i="3"/>
  <c r="F31" i="3" s="1"/>
  <c r="E30" i="3"/>
  <c r="F30" i="3" s="1"/>
  <c r="E29" i="3"/>
  <c r="F29" i="3" s="1"/>
  <c r="E28" i="3"/>
  <c r="F28" i="3" s="1"/>
  <c r="D27" i="3"/>
  <c r="E27" i="3" s="1"/>
  <c r="F27" i="3" s="1"/>
  <c r="F26" i="3"/>
  <c r="E25" i="3"/>
  <c r="F25" i="3" s="1"/>
  <c r="D24" i="3"/>
  <c r="E24" i="3" s="1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F17" i="3" s="1"/>
  <c r="E16" i="3"/>
  <c r="F16" i="3" s="1"/>
  <c r="D15" i="3"/>
  <c r="E15" i="3" s="1"/>
  <c r="F15" i="3" s="1"/>
  <c r="A7" i="3"/>
  <c r="F5729" i="2"/>
  <c r="G5729" i="2" s="1"/>
  <c r="H5729" i="2" s="1"/>
  <c r="F5728" i="2"/>
  <c r="D219" i="3" s="1"/>
  <c r="F5727" i="2"/>
  <c r="G5727" i="2" s="1"/>
  <c r="H5727" i="2" s="1"/>
  <c r="G5726" i="2"/>
  <c r="H5726" i="2" s="1"/>
  <c r="F5725" i="2"/>
  <c r="F5724" i="2"/>
  <c r="G5724" i="2" s="1"/>
  <c r="H5724" i="2" s="1"/>
  <c r="G5722" i="2"/>
  <c r="G5721" i="2"/>
  <c r="G5720" i="2"/>
  <c r="G5719" i="2"/>
  <c r="H5718" i="2"/>
  <c r="F5718" i="2"/>
  <c r="E5718" i="2"/>
  <c r="G5716" i="2"/>
  <c r="G5715" i="2"/>
  <c r="G5714" i="2"/>
  <c r="H5713" i="2"/>
  <c r="H5712" i="2" s="1"/>
  <c r="F5713" i="2"/>
  <c r="E5713" i="2"/>
  <c r="E5712" i="2" s="1"/>
  <c r="G5710" i="2"/>
  <c r="G5709" i="2"/>
  <c r="G5708" i="2"/>
  <c r="G5707" i="2"/>
  <c r="G5706" i="2"/>
  <c r="H5705" i="2"/>
  <c r="F5705" i="2"/>
  <c r="E5705" i="2"/>
  <c r="G5704" i="2"/>
  <c r="H5703" i="2"/>
  <c r="F5703" i="2"/>
  <c r="E5703" i="2"/>
  <c r="G5702" i="2"/>
  <c r="G5701" i="2"/>
  <c r="H5700" i="2"/>
  <c r="F5700" i="2"/>
  <c r="E5700" i="2"/>
  <c r="G5699" i="2"/>
  <c r="H5698" i="2"/>
  <c r="F5698" i="2"/>
  <c r="E5698" i="2"/>
  <c r="G5697" i="2"/>
  <c r="G5696" i="2"/>
  <c r="G5695" i="2"/>
  <c r="H5694" i="2"/>
  <c r="F5694" i="2"/>
  <c r="E5694" i="2"/>
  <c r="G5693" i="2"/>
  <c r="H5692" i="2"/>
  <c r="F5692" i="2"/>
  <c r="E5692" i="2"/>
  <c r="G5689" i="2"/>
  <c r="G5688" i="2"/>
  <c r="H5687" i="2"/>
  <c r="F5687" i="2"/>
  <c r="E5687" i="2"/>
  <c r="G5686" i="2"/>
  <c r="G5685" i="2"/>
  <c r="G5684" i="2"/>
  <c r="G5683" i="2"/>
  <c r="G5682" i="2"/>
  <c r="H5681" i="2"/>
  <c r="F5681" i="2"/>
  <c r="E5681" i="2"/>
  <c r="G5680" i="2"/>
  <c r="G5679" i="2"/>
  <c r="H5678" i="2"/>
  <c r="F5678" i="2"/>
  <c r="E5678" i="2"/>
  <c r="G5677" i="2"/>
  <c r="H5676" i="2"/>
  <c r="F5676" i="2"/>
  <c r="E5676" i="2"/>
  <c r="G5675" i="2"/>
  <c r="G5674" i="2"/>
  <c r="G5673" i="2"/>
  <c r="G5672" i="2"/>
  <c r="G5671" i="2"/>
  <c r="G5670" i="2"/>
  <c r="G5669" i="2"/>
  <c r="G5668" i="2"/>
  <c r="G5667" i="2"/>
  <c r="H5666" i="2"/>
  <c r="F5666" i="2"/>
  <c r="E5666" i="2"/>
  <c r="G5663" i="2"/>
  <c r="H5662" i="2"/>
  <c r="H5661" i="2" s="1"/>
  <c r="F5662" i="2"/>
  <c r="F5661" i="2" s="1"/>
  <c r="E5662" i="2"/>
  <c r="E5661" i="2" s="1"/>
  <c r="G5659" i="2"/>
  <c r="G5658" i="2"/>
  <c r="H5657" i="2"/>
  <c r="F5657" i="2"/>
  <c r="E5657" i="2"/>
  <c r="G5656" i="2"/>
  <c r="H5655" i="2"/>
  <c r="F5655" i="2"/>
  <c r="E5655" i="2"/>
  <c r="G5654" i="2"/>
  <c r="G5653" i="2"/>
  <c r="H5652" i="2"/>
  <c r="F5652" i="2"/>
  <c r="E5652" i="2"/>
  <c r="G5649" i="2"/>
  <c r="H5648" i="2"/>
  <c r="H5647" i="2" s="1"/>
  <c r="F5648" i="2"/>
  <c r="E5648" i="2"/>
  <c r="E5647" i="2" s="1"/>
  <c r="E5642" i="2" s="1"/>
  <c r="G5645" i="2"/>
  <c r="H5644" i="2"/>
  <c r="H5643" i="2" s="1"/>
  <c r="F5644" i="2"/>
  <c r="F5643" i="2" s="1"/>
  <c r="E5644" i="2"/>
  <c r="E5643" i="2" s="1"/>
  <c r="G5640" i="2"/>
  <c r="G5639" i="2"/>
  <c r="H5638" i="2"/>
  <c r="F5638" i="2"/>
  <c r="E5638" i="2"/>
  <c r="G5637" i="2"/>
  <c r="H5636" i="2"/>
  <c r="F5636" i="2"/>
  <c r="E5636" i="2"/>
  <c r="G5635" i="2"/>
  <c r="H5634" i="2"/>
  <c r="F5634" i="2"/>
  <c r="E5634" i="2"/>
  <c r="G5633" i="2"/>
  <c r="H5632" i="2"/>
  <c r="F5632" i="2"/>
  <c r="E5632" i="2"/>
  <c r="G5631" i="2"/>
  <c r="G5630" i="2"/>
  <c r="H5629" i="2"/>
  <c r="F5629" i="2"/>
  <c r="E5629" i="2"/>
  <c r="G5628" i="2"/>
  <c r="H5627" i="2"/>
  <c r="F5627" i="2"/>
  <c r="E5627" i="2"/>
  <c r="G5623" i="2"/>
  <c r="H5622" i="2"/>
  <c r="H5621" i="2" s="1"/>
  <c r="F5622" i="2"/>
  <c r="F5621" i="2" s="1"/>
  <c r="F5620" i="2" s="1"/>
  <c r="E5622" i="2"/>
  <c r="G5618" i="2"/>
  <c r="H5617" i="2"/>
  <c r="F5617" i="2"/>
  <c r="E5617" i="2"/>
  <c r="G5616" i="2"/>
  <c r="H5615" i="2"/>
  <c r="F5615" i="2"/>
  <c r="E5615" i="2"/>
  <c r="G5614" i="2"/>
  <c r="H5613" i="2"/>
  <c r="F5613" i="2"/>
  <c r="F5612" i="2" s="1"/>
  <c r="E5613" i="2"/>
  <c r="G5609" i="2"/>
  <c r="H5608" i="2"/>
  <c r="F5608" i="2"/>
  <c r="E5608" i="2"/>
  <c r="G5607" i="2"/>
  <c r="H5606" i="2"/>
  <c r="F5606" i="2"/>
  <c r="E5606" i="2"/>
  <c r="G5605" i="2"/>
  <c r="G5604" i="2"/>
  <c r="G5603" i="2"/>
  <c r="G5602" i="2"/>
  <c r="H5601" i="2"/>
  <c r="F5601" i="2"/>
  <c r="E5601" i="2"/>
  <c r="G5600" i="2"/>
  <c r="G5599" i="2"/>
  <c r="H5598" i="2"/>
  <c r="F5598" i="2"/>
  <c r="E5598" i="2"/>
  <c r="G5597" i="2"/>
  <c r="H5596" i="2"/>
  <c r="F5596" i="2"/>
  <c r="E5596" i="2"/>
  <c r="G5595" i="2"/>
  <c r="H5594" i="2"/>
  <c r="F5594" i="2"/>
  <c r="E5594" i="2"/>
  <c r="G5590" i="2"/>
  <c r="H5589" i="2"/>
  <c r="F5589" i="2"/>
  <c r="E5589" i="2"/>
  <c r="G5588" i="2"/>
  <c r="F5587" i="2"/>
  <c r="E5587" i="2"/>
  <c r="G5586" i="2"/>
  <c r="H5585" i="2"/>
  <c r="F5585" i="2"/>
  <c r="E5585" i="2"/>
  <c r="G5584" i="2"/>
  <c r="G5583" i="2"/>
  <c r="H5582" i="2"/>
  <c r="F5582" i="2"/>
  <c r="E5582" i="2"/>
  <c r="G5581" i="2"/>
  <c r="G5580" i="2"/>
  <c r="H5579" i="2"/>
  <c r="F5579" i="2"/>
  <c r="E5579" i="2"/>
  <c r="G5578" i="2"/>
  <c r="H5577" i="2"/>
  <c r="F5577" i="2"/>
  <c r="E5577" i="2"/>
  <c r="G5576" i="2"/>
  <c r="G5575" i="2"/>
  <c r="H5574" i="2"/>
  <c r="F5574" i="2"/>
  <c r="E5574" i="2"/>
  <c r="G5573" i="2"/>
  <c r="G5572" i="2"/>
  <c r="H5571" i="2"/>
  <c r="F5571" i="2"/>
  <c r="E5571" i="2"/>
  <c r="G5570" i="2"/>
  <c r="G5569" i="2"/>
  <c r="G5568" i="2"/>
  <c r="F5567" i="2"/>
  <c r="E5567" i="2"/>
  <c r="G5566" i="2"/>
  <c r="G5565" i="2"/>
  <c r="G5564" i="2"/>
  <c r="G5563" i="2"/>
  <c r="F5562" i="2"/>
  <c r="E5562" i="2"/>
  <c r="G5561" i="2"/>
  <c r="G5560" i="2"/>
  <c r="G5559" i="2"/>
  <c r="G5558" i="2"/>
  <c r="F5557" i="2"/>
  <c r="E5557" i="2"/>
  <c r="G5556" i="2"/>
  <c r="H5555" i="2"/>
  <c r="F5555" i="2"/>
  <c r="E5555" i="2"/>
  <c r="G5551" i="2"/>
  <c r="G5550" i="2"/>
  <c r="H5549" i="2"/>
  <c r="F5549" i="2"/>
  <c r="E5549" i="2"/>
  <c r="G5548" i="2"/>
  <c r="G5547" i="2"/>
  <c r="H5546" i="2"/>
  <c r="F5546" i="2"/>
  <c r="E5546" i="2"/>
  <c r="G5545" i="2"/>
  <c r="G5544" i="2"/>
  <c r="G5543" i="2"/>
  <c r="G5542" i="2"/>
  <c r="G5541" i="2"/>
  <c r="G5540" i="2"/>
  <c r="G5539" i="2"/>
  <c r="G5538" i="2"/>
  <c r="G5537" i="2"/>
  <c r="H5536" i="2"/>
  <c r="F5536" i="2"/>
  <c r="E5536" i="2"/>
  <c r="G5535" i="2"/>
  <c r="H5534" i="2"/>
  <c r="F5534" i="2"/>
  <c r="E5534" i="2"/>
  <c r="G5533" i="2"/>
  <c r="G5532" i="2"/>
  <c r="G5531" i="2"/>
  <c r="G5530" i="2"/>
  <c r="G5529" i="2"/>
  <c r="G5528" i="2"/>
  <c r="G5527" i="2"/>
  <c r="G5526" i="2"/>
  <c r="G5525" i="2"/>
  <c r="H5524" i="2"/>
  <c r="F5524" i="2"/>
  <c r="E5524" i="2"/>
  <c r="G5523" i="2"/>
  <c r="G5522" i="2"/>
  <c r="G5521" i="2"/>
  <c r="H5520" i="2"/>
  <c r="F5520" i="2"/>
  <c r="E5520" i="2"/>
  <c r="G5515" i="2"/>
  <c r="F5514" i="2"/>
  <c r="E5514" i="2"/>
  <c r="E5513" i="2" s="1"/>
  <c r="G5511" i="2"/>
  <c r="G5510" i="2"/>
  <c r="F5509" i="2"/>
  <c r="E5509" i="2"/>
  <c r="E5508" i="2" s="1"/>
  <c r="G5506" i="2"/>
  <c r="F5505" i="2"/>
  <c r="E5505" i="2"/>
  <c r="G5504" i="2"/>
  <c r="F5503" i="2"/>
  <c r="E5503" i="2"/>
  <c r="G5500" i="2"/>
  <c r="F5499" i="2"/>
  <c r="E5499" i="2"/>
  <c r="G5499" i="2" s="1"/>
  <c r="G5498" i="2"/>
  <c r="F5497" i="2"/>
  <c r="E5497" i="2"/>
  <c r="G5494" i="2"/>
  <c r="G5493" i="2"/>
  <c r="F5492" i="2"/>
  <c r="E5492" i="2"/>
  <c r="G5491" i="2"/>
  <c r="F5490" i="2"/>
  <c r="E5490" i="2"/>
  <c r="G5487" i="2"/>
  <c r="G5486" i="2"/>
  <c r="F5485" i="2"/>
  <c r="F5484" i="2" s="1"/>
  <c r="E5485" i="2"/>
  <c r="G5482" i="2"/>
  <c r="F5481" i="2"/>
  <c r="F5480" i="2" s="1"/>
  <c r="E5481" i="2"/>
  <c r="E5480" i="2" s="1"/>
  <c r="G5478" i="2"/>
  <c r="F5477" i="2"/>
  <c r="E5477" i="2"/>
  <c r="G5476" i="2"/>
  <c r="G5475" i="2"/>
  <c r="G5474" i="2"/>
  <c r="G5473" i="2"/>
  <c r="F5472" i="2"/>
  <c r="E5472" i="2"/>
  <c r="G5469" i="2"/>
  <c r="G5468" i="2"/>
  <c r="F5467" i="2"/>
  <c r="E5467" i="2"/>
  <c r="G5466" i="2"/>
  <c r="G5465" i="2"/>
  <c r="G5464" i="2"/>
  <c r="G5463" i="2"/>
  <c r="F5462" i="2"/>
  <c r="E5462" i="2"/>
  <c r="G5461" i="2"/>
  <c r="G5460" i="2"/>
  <c r="G5459" i="2"/>
  <c r="F5458" i="2"/>
  <c r="E5458" i="2"/>
  <c r="G5455" i="2"/>
  <c r="F5454" i="2"/>
  <c r="E5454" i="2"/>
  <c r="G5453" i="2"/>
  <c r="F5452" i="2"/>
  <c r="E5452" i="2"/>
  <c r="G5449" i="2"/>
  <c r="G5448" i="2"/>
  <c r="F5447" i="2"/>
  <c r="E5447" i="2"/>
  <c r="G5446" i="2"/>
  <c r="G5445" i="2"/>
  <c r="G5444" i="2"/>
  <c r="G5443" i="2"/>
  <c r="F5442" i="2"/>
  <c r="E5442" i="2"/>
  <c r="G5441" i="2"/>
  <c r="F5440" i="2"/>
  <c r="E5440" i="2"/>
  <c r="G5439" i="2"/>
  <c r="F5438" i="2"/>
  <c r="E5438" i="2"/>
  <c r="G5435" i="2"/>
  <c r="G5434" i="2"/>
  <c r="G5433" i="2"/>
  <c r="G5432" i="2"/>
  <c r="G5431" i="2"/>
  <c r="G5430" i="2"/>
  <c r="F5429" i="2"/>
  <c r="F5428" i="2" s="1"/>
  <c r="E5429" i="2"/>
  <c r="G5426" i="2"/>
  <c r="G5425" i="2"/>
  <c r="G5424" i="2"/>
  <c r="G5423" i="2"/>
  <c r="F5422" i="2"/>
  <c r="E5422" i="2"/>
  <c r="G5421" i="2"/>
  <c r="G5420" i="2"/>
  <c r="F5419" i="2"/>
  <c r="E5419" i="2"/>
  <c r="G5418" i="2"/>
  <c r="G5417" i="2"/>
  <c r="G5416" i="2"/>
  <c r="G5415" i="2"/>
  <c r="F5414" i="2"/>
  <c r="E5414" i="2"/>
  <c r="G5411" i="2"/>
  <c r="F5410" i="2"/>
  <c r="E5410" i="2"/>
  <c r="E5409" i="2" s="1"/>
  <c r="G5407" i="2"/>
  <c r="G5406" i="2"/>
  <c r="F5405" i="2"/>
  <c r="E5405" i="2"/>
  <c r="G5404" i="2"/>
  <c r="G5403" i="2"/>
  <c r="G5402" i="2"/>
  <c r="G5401" i="2"/>
  <c r="F5400" i="2"/>
  <c r="E5400" i="2"/>
  <c r="G5399" i="2"/>
  <c r="G5398" i="2"/>
  <c r="F5397" i="2"/>
  <c r="E5397" i="2"/>
  <c r="G5396" i="2"/>
  <c r="G5395" i="2"/>
  <c r="G5394" i="2"/>
  <c r="G5393" i="2"/>
  <c r="G5392" i="2"/>
  <c r="G5391" i="2"/>
  <c r="F5390" i="2"/>
  <c r="E5390" i="2"/>
  <c r="G5389" i="2"/>
  <c r="G5388" i="2"/>
  <c r="G5387" i="2"/>
  <c r="G5386" i="2"/>
  <c r="F5385" i="2"/>
  <c r="E5385" i="2"/>
  <c r="G5384" i="2"/>
  <c r="F5383" i="2"/>
  <c r="E5383" i="2"/>
  <c r="G5380" i="2"/>
  <c r="F5379" i="2"/>
  <c r="E5379" i="2"/>
  <c r="G5378" i="2"/>
  <c r="G5377" i="2"/>
  <c r="F5376" i="2"/>
  <c r="E5376" i="2"/>
  <c r="G5375" i="2"/>
  <c r="G5374" i="2"/>
  <c r="G5373" i="2"/>
  <c r="G5372" i="2"/>
  <c r="G5371" i="2"/>
  <c r="G5370" i="2"/>
  <c r="G5369" i="2"/>
  <c r="G5368" i="2"/>
  <c r="G5367" i="2"/>
  <c r="G5366" i="2"/>
  <c r="G5365" i="2"/>
  <c r="F5364" i="2"/>
  <c r="E5364" i="2"/>
  <c r="G5363" i="2"/>
  <c r="G5362" i="2"/>
  <c r="G5361" i="2"/>
  <c r="G5360" i="2"/>
  <c r="G5359" i="2"/>
  <c r="G5358" i="2"/>
  <c r="G5357" i="2"/>
  <c r="G5356" i="2"/>
  <c r="G5355" i="2"/>
  <c r="G5354" i="2"/>
  <c r="G5353" i="2"/>
  <c r="G5352" i="2"/>
  <c r="G5351" i="2"/>
  <c r="G5350" i="2"/>
  <c r="F5349" i="2"/>
  <c r="E5349" i="2"/>
  <c r="G5348" i="2"/>
  <c r="G5347" i="2"/>
  <c r="G5346" i="2"/>
  <c r="G5345" i="2"/>
  <c r="F5344" i="2"/>
  <c r="G5344" i="2" s="1"/>
  <c r="E5343" i="2"/>
  <c r="G5339" i="2"/>
  <c r="G5338" i="2"/>
  <c r="G5337" i="2"/>
  <c r="G5336" i="2"/>
  <c r="G5335" i="2"/>
  <c r="G5334" i="2"/>
  <c r="G5333" i="2"/>
  <c r="H5332" i="2"/>
  <c r="F5332" i="2"/>
  <c r="E5332" i="2"/>
  <c r="G5331" i="2"/>
  <c r="H5330" i="2"/>
  <c r="H5329" i="2" s="1"/>
  <c r="F5330" i="2"/>
  <c r="E5330" i="2"/>
  <c r="G5328" i="2"/>
  <c r="G5327" i="2"/>
  <c r="H5326" i="2"/>
  <c r="F5326" i="2"/>
  <c r="E5326" i="2"/>
  <c r="G5325" i="2"/>
  <c r="G5324" i="2"/>
  <c r="H5323" i="2"/>
  <c r="F5323" i="2"/>
  <c r="E5323" i="2"/>
  <c r="G5319" i="2"/>
  <c r="H5318" i="2"/>
  <c r="F5318" i="2"/>
  <c r="F5317" i="2" s="1"/>
  <c r="E5318" i="2"/>
  <c r="G5315" i="2"/>
  <c r="G5314" i="2"/>
  <c r="H5313" i="2"/>
  <c r="F5313" i="2"/>
  <c r="E5313" i="2"/>
  <c r="E5312" i="2" s="1"/>
  <c r="F5312" i="2"/>
  <c r="H5309" i="2"/>
  <c r="H5308" i="2" s="1"/>
  <c r="E5308" i="2"/>
  <c r="G5306" i="2"/>
  <c r="G5305" i="2"/>
  <c r="G5304" i="2"/>
  <c r="G5303" i="2"/>
  <c r="G5302" i="2"/>
  <c r="F5301" i="2"/>
  <c r="E5301" i="2"/>
  <c r="G5300" i="2"/>
  <c r="H5299" i="2"/>
  <c r="F5299" i="2"/>
  <c r="F5298" i="2" s="1"/>
  <c r="E5299" i="2"/>
  <c r="G5296" i="2"/>
  <c r="G5295" i="2"/>
  <c r="G5294" i="2"/>
  <c r="G5293" i="2"/>
  <c r="H5292" i="2"/>
  <c r="F5292" i="2"/>
  <c r="E5292" i="2"/>
  <c r="G5291" i="2"/>
  <c r="G5290" i="2"/>
  <c r="G5289" i="2"/>
  <c r="G5288" i="2"/>
  <c r="H5287" i="2"/>
  <c r="F5287" i="2"/>
  <c r="E5287" i="2"/>
  <c r="G5286" i="2"/>
  <c r="G5285" i="2"/>
  <c r="H5284" i="2"/>
  <c r="F5284" i="2"/>
  <c r="E5284" i="2"/>
  <c r="G5281" i="2"/>
  <c r="G5280" i="2"/>
  <c r="H5279" i="2"/>
  <c r="F5279" i="2"/>
  <c r="E5279" i="2"/>
  <c r="G5278" i="2"/>
  <c r="H5277" i="2"/>
  <c r="F5277" i="2"/>
  <c r="E5277" i="2"/>
  <c r="E5276" i="2" s="1"/>
  <c r="G5274" i="2"/>
  <c r="H5273" i="2"/>
  <c r="F5273" i="2"/>
  <c r="E5273" i="2"/>
  <c r="E5272" i="2" s="1"/>
  <c r="G5270" i="2"/>
  <c r="H5269" i="2"/>
  <c r="F5269" i="2"/>
  <c r="E5269" i="2"/>
  <c r="G5268" i="2"/>
  <c r="G5267" i="2"/>
  <c r="G5266" i="2"/>
  <c r="H5265" i="2"/>
  <c r="F5265" i="2"/>
  <c r="E5265" i="2"/>
  <c r="G5264" i="2"/>
  <c r="H5263" i="2"/>
  <c r="F5263" i="2"/>
  <c r="E5263" i="2"/>
  <c r="G5260" i="2"/>
  <c r="H5259" i="2"/>
  <c r="F5259" i="2"/>
  <c r="E5259" i="2"/>
  <c r="E5258" i="2" s="1"/>
  <c r="G5256" i="2"/>
  <c r="H5255" i="2"/>
  <c r="F5255" i="2"/>
  <c r="E5255" i="2"/>
  <c r="E5254" i="2" s="1"/>
  <c r="G5252" i="2"/>
  <c r="H5251" i="2"/>
  <c r="F5251" i="2"/>
  <c r="E5251" i="2"/>
  <c r="G5250" i="2"/>
  <c r="H5249" i="2"/>
  <c r="F5249" i="2"/>
  <c r="E5249" i="2"/>
  <c r="G5248" i="2"/>
  <c r="G5247" i="2"/>
  <c r="H5246" i="2"/>
  <c r="F5246" i="2"/>
  <c r="E5246" i="2"/>
  <c r="G5243" i="2"/>
  <c r="H5242" i="2"/>
  <c r="F5242" i="2"/>
  <c r="E5242" i="2"/>
  <c r="G5241" i="2"/>
  <c r="H5240" i="2"/>
  <c r="F5240" i="2"/>
  <c r="E5240" i="2"/>
  <c r="E5239" i="2" s="1"/>
  <c r="G5237" i="2"/>
  <c r="H5236" i="2"/>
  <c r="F5236" i="2"/>
  <c r="E5236" i="2"/>
  <c r="E5235" i="2" s="1"/>
  <c r="G5233" i="2"/>
  <c r="G5232" i="2"/>
  <c r="H5231" i="2"/>
  <c r="F5231" i="2"/>
  <c r="F5230" i="2" s="1"/>
  <c r="E5231" i="2"/>
  <c r="E5230" i="2" s="1"/>
  <c r="G5228" i="2"/>
  <c r="H5227" i="2"/>
  <c r="F5227" i="2"/>
  <c r="E5227" i="2"/>
  <c r="G5226" i="2"/>
  <c r="H5225" i="2"/>
  <c r="F5225" i="2"/>
  <c r="E5225" i="2"/>
  <c r="G5224" i="2"/>
  <c r="H5223" i="2"/>
  <c r="F5223" i="2"/>
  <c r="E5223" i="2"/>
  <c r="E5222" i="2" s="1"/>
  <c r="G5220" i="2"/>
  <c r="H5219" i="2"/>
  <c r="F5219" i="2"/>
  <c r="E5219" i="2"/>
  <c r="G5218" i="2"/>
  <c r="G5217" i="2"/>
  <c r="G5216" i="2"/>
  <c r="G5215" i="2"/>
  <c r="H5214" i="2"/>
  <c r="F5214" i="2"/>
  <c r="E5214" i="2"/>
  <c r="G5213" i="2"/>
  <c r="G5212" i="2"/>
  <c r="G5211" i="2"/>
  <c r="H5210" i="2"/>
  <c r="F5210" i="2"/>
  <c r="E5210" i="2"/>
  <c r="G5209" i="2"/>
  <c r="G5208" i="2"/>
  <c r="G5207" i="2"/>
  <c r="H5206" i="2"/>
  <c r="F5206" i="2"/>
  <c r="E5206" i="2"/>
  <c r="G5205" i="2"/>
  <c r="G5204" i="2"/>
  <c r="H5203" i="2"/>
  <c r="F5203" i="2"/>
  <c r="E5203" i="2"/>
  <c r="G5202" i="2"/>
  <c r="G5201" i="2" s="1"/>
  <c r="H5201" i="2"/>
  <c r="F5201" i="2"/>
  <c r="E5201" i="2"/>
  <c r="G5198" i="2"/>
  <c r="G5197" i="2"/>
  <c r="G5196" i="2"/>
  <c r="G5195" i="2"/>
  <c r="H5194" i="2"/>
  <c r="F5194" i="2"/>
  <c r="E5194" i="2"/>
  <c r="G5193" i="2"/>
  <c r="H5192" i="2"/>
  <c r="F5192" i="2"/>
  <c r="E5192" i="2"/>
  <c r="G5191" i="2"/>
  <c r="H5190" i="2"/>
  <c r="F5190" i="2"/>
  <c r="E5190" i="2"/>
  <c r="G5189" i="2"/>
  <c r="G5188" i="2"/>
  <c r="G5187" i="2"/>
  <c r="H5186" i="2"/>
  <c r="F5186" i="2"/>
  <c r="E5186" i="2"/>
  <c r="G5185" i="2"/>
  <c r="G5184" i="2"/>
  <c r="H5183" i="2"/>
  <c r="F5183" i="2"/>
  <c r="E5183" i="2"/>
  <c r="G5179" i="2"/>
  <c r="H5179" i="2" s="1"/>
  <c r="F5178" i="2"/>
  <c r="F5177" i="2" s="1"/>
  <c r="E5178" i="2"/>
  <c r="E5177" i="2" s="1"/>
  <c r="G5175" i="2"/>
  <c r="H5175" i="2" s="1"/>
  <c r="F5174" i="2"/>
  <c r="E5174" i="2"/>
  <c r="G5173" i="2"/>
  <c r="H5173" i="2" s="1"/>
  <c r="F5172" i="2"/>
  <c r="E5172" i="2"/>
  <c r="E5170" i="2" s="1"/>
  <c r="G5171" i="2"/>
  <c r="H5171" i="2" s="1"/>
  <c r="F5170" i="2"/>
  <c r="G5167" i="2"/>
  <c r="H5167" i="2" s="1"/>
  <c r="G5166" i="2"/>
  <c r="H5166" i="2" s="1"/>
  <c r="F5165" i="2"/>
  <c r="E5165" i="2"/>
  <c r="G5164" i="2"/>
  <c r="H5164" i="2" s="1"/>
  <c r="G5163" i="2"/>
  <c r="H5163" i="2" s="1"/>
  <c r="G5162" i="2"/>
  <c r="H5162" i="2" s="1"/>
  <c r="G5161" i="2"/>
  <c r="H5161" i="2" s="1"/>
  <c r="F5160" i="2"/>
  <c r="E5160" i="2"/>
  <c r="G5159" i="2"/>
  <c r="H5159" i="2" s="1"/>
  <c r="G5158" i="2"/>
  <c r="H5158" i="2" s="1"/>
  <c r="G5157" i="2"/>
  <c r="H5157" i="2" s="1"/>
  <c r="G5156" i="2"/>
  <c r="H5156" i="2" s="1"/>
  <c r="G5155" i="2"/>
  <c r="H5155" i="2" s="1"/>
  <c r="G5154" i="2"/>
  <c r="H5154" i="2" s="1"/>
  <c r="G5153" i="2"/>
  <c r="H5153" i="2" s="1"/>
  <c r="G5152" i="2"/>
  <c r="H5152" i="2" s="1"/>
  <c r="F5151" i="2"/>
  <c r="E5151" i="2"/>
  <c r="G5148" i="2"/>
  <c r="H5148" i="2" s="1"/>
  <c r="G5147" i="2"/>
  <c r="H5147" i="2" s="1"/>
  <c r="F5146" i="2"/>
  <c r="E5146" i="2"/>
  <c r="E5145" i="2" s="1"/>
  <c r="G5143" i="2"/>
  <c r="H5143" i="2" s="1"/>
  <c r="G5142" i="2"/>
  <c r="H5142" i="2" s="1"/>
  <c r="G5141" i="2"/>
  <c r="H5141" i="2" s="1"/>
  <c r="G5140" i="2"/>
  <c r="H5140" i="2" s="1"/>
  <c r="F5139" i="2"/>
  <c r="E5139" i="2"/>
  <c r="G5138" i="2"/>
  <c r="H5138" i="2" s="1"/>
  <c r="F5137" i="2"/>
  <c r="E5137" i="2"/>
  <c r="G5136" i="2"/>
  <c r="H5136" i="2" s="1"/>
  <c r="G5135" i="2"/>
  <c r="H5135" i="2" s="1"/>
  <c r="F5134" i="2"/>
  <c r="E5134" i="2"/>
  <c r="G5131" i="2"/>
  <c r="H5131" i="2" s="1"/>
  <c r="F5130" i="2"/>
  <c r="E5130" i="2"/>
  <c r="G5129" i="2"/>
  <c r="H5129" i="2" s="1"/>
  <c r="F5128" i="2"/>
  <c r="E5128" i="2"/>
  <c r="G5127" i="2"/>
  <c r="H5127" i="2" s="1"/>
  <c r="F5126" i="2"/>
  <c r="E5126" i="2"/>
  <c r="G5123" i="2"/>
  <c r="H5123" i="2" s="1"/>
  <c r="G5122" i="2"/>
  <c r="H5122" i="2" s="1"/>
  <c r="F5121" i="2"/>
  <c r="E5121" i="2"/>
  <c r="G5120" i="2"/>
  <c r="H5120" i="2" s="1"/>
  <c r="G5119" i="2"/>
  <c r="H5119" i="2" s="1"/>
  <c r="F5118" i="2"/>
  <c r="E5118" i="2"/>
  <c r="G5117" i="2"/>
  <c r="H5117" i="2" s="1"/>
  <c r="F5116" i="2"/>
  <c r="E5116" i="2"/>
  <c r="G5113" i="2"/>
  <c r="H5113" i="2" s="1"/>
  <c r="F5112" i="2"/>
  <c r="E5112" i="2"/>
  <c r="G5111" i="2"/>
  <c r="H5111" i="2" s="1"/>
  <c r="F5110" i="2"/>
  <c r="E5110" i="2"/>
  <c r="G5107" i="2"/>
  <c r="H5107" i="2" s="1"/>
  <c r="G5106" i="2"/>
  <c r="H5106" i="2" s="1"/>
  <c r="F5105" i="2"/>
  <c r="E5105" i="2"/>
  <c r="E5104" i="2" s="1"/>
  <c r="G5102" i="2"/>
  <c r="H5102" i="2" s="1"/>
  <c r="F5101" i="2"/>
  <c r="E5101" i="2"/>
  <c r="G5100" i="2"/>
  <c r="H5100" i="2" s="1"/>
  <c r="G5099" i="2"/>
  <c r="H5099" i="2" s="1"/>
  <c r="F5098" i="2"/>
  <c r="F5097" i="2" s="1"/>
  <c r="E5098" i="2"/>
  <c r="G5095" i="2"/>
  <c r="H5095" i="2" s="1"/>
  <c r="F5094" i="2"/>
  <c r="E5094" i="2"/>
  <c r="G5093" i="2"/>
  <c r="H5093" i="2" s="1"/>
  <c r="F5092" i="2"/>
  <c r="E5092" i="2"/>
  <c r="G5091" i="2"/>
  <c r="H5091" i="2" s="1"/>
  <c r="F5090" i="2"/>
  <c r="E5090" i="2"/>
  <c r="G5087" i="2"/>
  <c r="H5087" i="2" s="1"/>
  <c r="G5086" i="2"/>
  <c r="F5085" i="2"/>
  <c r="E5085" i="2"/>
  <c r="G5084" i="2"/>
  <c r="H5084" i="2" s="1"/>
  <c r="G5083" i="2"/>
  <c r="H5083" i="2" s="1"/>
  <c r="F5082" i="2"/>
  <c r="F5081" i="2" s="1"/>
  <c r="E5082" i="2"/>
  <c r="H5080" i="2"/>
  <c r="G5079" i="2"/>
  <c r="H5079" i="2" s="1"/>
  <c r="F5078" i="2"/>
  <c r="F5077" i="2" s="1"/>
  <c r="E5078" i="2"/>
  <c r="G5075" i="2"/>
  <c r="H5075" i="2" s="1"/>
  <c r="F5074" i="2"/>
  <c r="E5074" i="2"/>
  <c r="G5073" i="2"/>
  <c r="H5073" i="2" s="1"/>
  <c r="F5072" i="2"/>
  <c r="E5072" i="2"/>
  <c r="G5069" i="2"/>
  <c r="H5069" i="2" s="1"/>
  <c r="F5068" i="2"/>
  <c r="E5068" i="2"/>
  <c r="G5067" i="2"/>
  <c r="H5067" i="2" s="1"/>
  <c r="G5066" i="2"/>
  <c r="H5066" i="2" s="1"/>
  <c r="G5065" i="2"/>
  <c r="H5065" i="2" s="1"/>
  <c r="G5064" i="2"/>
  <c r="H5064" i="2" s="1"/>
  <c r="F5063" i="2"/>
  <c r="E5063" i="2"/>
  <c r="G5062" i="2"/>
  <c r="H5062" i="2" s="1"/>
  <c r="G5061" i="2"/>
  <c r="H5061" i="2" s="1"/>
  <c r="F5060" i="2"/>
  <c r="E5060" i="2"/>
  <c r="G5057" i="2"/>
  <c r="H5057" i="2" s="1"/>
  <c r="F5056" i="2"/>
  <c r="E5056" i="2"/>
  <c r="G5055" i="2"/>
  <c r="H5055" i="2" s="1"/>
  <c r="G5054" i="2"/>
  <c r="H5054" i="2" s="1"/>
  <c r="G5053" i="2"/>
  <c r="H5053" i="2" s="1"/>
  <c r="F5052" i="2"/>
  <c r="E5052" i="2"/>
  <c r="G5051" i="2"/>
  <c r="H5051" i="2" s="1"/>
  <c r="G5050" i="2"/>
  <c r="H5050" i="2" s="1"/>
  <c r="F5049" i="2"/>
  <c r="E5049" i="2"/>
  <c r="H5046" i="2"/>
  <c r="H5045" i="2"/>
  <c r="E5045" i="2"/>
  <c r="H5044" i="2"/>
  <c r="H5043" i="2"/>
  <c r="H5042" i="2"/>
  <c r="E5042" i="2"/>
  <c r="H5041" i="2"/>
  <c r="H5040" i="2"/>
  <c r="E5040" i="2"/>
  <c r="H5039" i="2"/>
  <c r="H5038" i="2"/>
  <c r="E5038" i="2"/>
  <c r="G5037" i="2"/>
  <c r="H5037" i="2" s="1"/>
  <c r="F5036" i="2"/>
  <c r="E5036" i="2"/>
  <c r="G5035" i="2"/>
  <c r="H5035" i="2" s="1"/>
  <c r="G5034" i="2"/>
  <c r="H5034" i="2" s="1"/>
  <c r="F5033" i="2"/>
  <c r="E5033" i="2"/>
  <c r="G5032" i="2"/>
  <c r="H5032" i="2" s="1"/>
  <c r="G5031" i="2"/>
  <c r="H5031" i="2" s="1"/>
  <c r="F5030" i="2"/>
  <c r="E5030" i="2"/>
  <c r="G5029" i="2"/>
  <c r="H5029" i="2" s="1"/>
  <c r="F5028" i="2"/>
  <c r="E5028" i="2"/>
  <c r="G5027" i="2"/>
  <c r="H5027" i="2" s="1"/>
  <c r="G5026" i="2"/>
  <c r="H5026" i="2" s="1"/>
  <c r="G5025" i="2"/>
  <c r="H5025" i="2" s="1"/>
  <c r="G5024" i="2"/>
  <c r="H5024" i="2" s="1"/>
  <c r="G5023" i="2"/>
  <c r="H5023" i="2" s="1"/>
  <c r="G5022" i="2"/>
  <c r="H5022" i="2" s="1"/>
  <c r="F5021" i="2"/>
  <c r="E5021" i="2"/>
  <c r="G5020" i="2"/>
  <c r="H5020" i="2" s="1"/>
  <c r="F5019" i="2"/>
  <c r="E5019" i="2"/>
  <c r="G5018" i="2"/>
  <c r="H5018" i="2" s="1"/>
  <c r="G5017" i="2"/>
  <c r="H5017" i="2" s="1"/>
  <c r="F5016" i="2"/>
  <c r="E5016" i="2"/>
  <c r="G5015" i="2"/>
  <c r="H5015" i="2" s="1"/>
  <c r="H5014" i="2"/>
  <c r="G5013" i="2"/>
  <c r="H5013" i="2" s="1"/>
  <c r="F5012" i="2"/>
  <c r="E5012" i="2"/>
  <c r="G5011" i="2"/>
  <c r="H5011" i="2" s="1"/>
  <c r="G5010" i="2"/>
  <c r="H5010" i="2" s="1"/>
  <c r="G5009" i="2"/>
  <c r="H5009" i="2" s="1"/>
  <c r="F5008" i="2"/>
  <c r="E5008" i="2"/>
  <c r="G5007" i="2"/>
  <c r="H5007" i="2" s="1"/>
  <c r="F5006" i="2"/>
  <c r="E5006" i="2"/>
  <c r="G5002" i="2"/>
  <c r="H5002" i="2" s="1"/>
  <c r="G5001" i="2"/>
  <c r="H5001" i="2" s="1"/>
  <c r="F5000" i="2"/>
  <c r="E5000" i="2"/>
  <c r="G4999" i="2"/>
  <c r="H4999" i="2" s="1"/>
  <c r="G4998" i="2"/>
  <c r="H4998" i="2" s="1"/>
  <c r="F4997" i="2"/>
  <c r="E4997" i="2"/>
  <c r="G4996" i="2"/>
  <c r="H4996" i="2" s="1"/>
  <c r="G4995" i="2"/>
  <c r="H4995" i="2" s="1"/>
  <c r="G4994" i="2"/>
  <c r="H4994" i="2" s="1"/>
  <c r="G4993" i="2"/>
  <c r="H4993" i="2" s="1"/>
  <c r="G4992" i="2"/>
  <c r="H4992" i="2" s="1"/>
  <c r="G4991" i="2"/>
  <c r="H4991" i="2" s="1"/>
  <c r="G4990" i="2"/>
  <c r="H4990" i="2" s="1"/>
  <c r="G4989" i="2"/>
  <c r="H4989" i="2" s="1"/>
  <c r="F4988" i="2"/>
  <c r="E4988" i="2"/>
  <c r="G4987" i="2"/>
  <c r="H4987" i="2" s="1"/>
  <c r="G4986" i="2"/>
  <c r="H4986" i="2" s="1"/>
  <c r="G4985" i="2"/>
  <c r="H4985" i="2" s="1"/>
  <c r="G4984" i="2"/>
  <c r="H4984" i="2" s="1"/>
  <c r="G4983" i="2"/>
  <c r="H4983" i="2" s="1"/>
  <c r="G4982" i="2"/>
  <c r="H4982" i="2" s="1"/>
  <c r="G4981" i="2"/>
  <c r="H4981" i="2" s="1"/>
  <c r="G4980" i="2"/>
  <c r="H4980" i="2" s="1"/>
  <c r="G4979" i="2"/>
  <c r="H4979" i="2" s="1"/>
  <c r="G4978" i="2"/>
  <c r="H4978" i="2" s="1"/>
  <c r="G4977" i="2"/>
  <c r="H4977" i="2" s="1"/>
  <c r="G4976" i="2"/>
  <c r="H4976" i="2" s="1"/>
  <c r="G4975" i="2"/>
  <c r="H4975" i="2" s="1"/>
  <c r="F4974" i="2"/>
  <c r="E4974" i="2"/>
  <c r="G4973" i="2"/>
  <c r="H4973" i="2" s="1"/>
  <c r="G4972" i="2"/>
  <c r="H4972" i="2" s="1"/>
  <c r="G4971" i="2"/>
  <c r="H4971" i="2" s="1"/>
  <c r="G4970" i="2"/>
  <c r="H4970" i="2" s="1"/>
  <c r="G4969" i="2"/>
  <c r="H4969" i="2" s="1"/>
  <c r="G4968" i="2"/>
  <c r="H4968" i="2" s="1"/>
  <c r="F4967" i="2"/>
  <c r="E4967" i="2"/>
  <c r="G4963" i="2"/>
  <c r="H4963" i="2" s="1"/>
  <c r="G4962" i="2"/>
  <c r="H4962" i="2" s="1"/>
  <c r="G4961" i="2"/>
  <c r="H4961" i="2" s="1"/>
  <c r="G4960" i="2"/>
  <c r="H4960" i="2" s="1"/>
  <c r="F4959" i="2"/>
  <c r="E4959" i="2"/>
  <c r="G4958" i="2"/>
  <c r="H4958" i="2" s="1"/>
  <c r="F4957" i="2"/>
  <c r="E4957" i="2"/>
  <c r="G4954" i="2"/>
  <c r="F4953" i="2"/>
  <c r="F4952" i="2" s="1"/>
  <c r="E4953" i="2"/>
  <c r="E4952" i="2" s="1"/>
  <c r="H4952" i="2"/>
  <c r="G4950" i="2"/>
  <c r="F4949" i="2"/>
  <c r="G4949" i="2" s="1"/>
  <c r="G4948" i="2"/>
  <c r="F4947" i="2"/>
  <c r="E4947" i="2"/>
  <c r="E4946" i="2" s="1"/>
  <c r="H4946" i="2"/>
  <c r="G4944" i="2"/>
  <c r="F4943" i="2"/>
  <c r="F4942" i="2" s="1"/>
  <c r="E4943" i="2"/>
  <c r="H4942" i="2"/>
  <c r="E4942" i="2"/>
  <c r="G4940" i="2"/>
  <c r="H4940" i="2" s="1"/>
  <c r="F4939" i="2"/>
  <c r="F4938" i="2" s="1"/>
  <c r="E4939" i="2"/>
  <c r="E4938" i="2"/>
  <c r="G4936" i="2"/>
  <c r="F4935" i="2"/>
  <c r="E4935" i="2"/>
  <c r="H4934" i="2"/>
  <c r="E4934" i="2"/>
  <c r="G4932" i="2"/>
  <c r="H4932" i="2" s="1"/>
  <c r="F4931" i="2"/>
  <c r="E4931" i="2"/>
  <c r="G4930" i="2"/>
  <c r="H4930" i="2" s="1"/>
  <c r="F4929" i="2"/>
  <c r="E4929" i="2"/>
  <c r="G4928" i="2"/>
  <c r="H4928" i="2" s="1"/>
  <c r="F4927" i="2"/>
  <c r="E4927" i="2"/>
  <c r="G4924" i="2"/>
  <c r="H4924" i="2" s="1"/>
  <c r="G4923" i="2"/>
  <c r="H4923" i="2" s="1"/>
  <c r="G4922" i="2"/>
  <c r="H4922" i="2" s="1"/>
  <c r="G4921" i="2"/>
  <c r="H4921" i="2" s="1"/>
  <c r="G4920" i="2"/>
  <c r="H4920" i="2" s="1"/>
  <c r="F4919" i="2"/>
  <c r="F4918" i="2" s="1"/>
  <c r="E4919" i="2"/>
  <c r="G4916" i="2"/>
  <c r="H4916" i="2" s="1"/>
  <c r="F4915" i="2"/>
  <c r="F4914" i="2" s="1"/>
  <c r="E4915" i="2"/>
  <c r="E4914" i="2" s="1"/>
  <c r="G4912" i="2"/>
  <c r="H4912" i="2" s="1"/>
  <c r="G4911" i="2"/>
  <c r="H4911" i="2" s="1"/>
  <c r="F4910" i="2"/>
  <c r="E4910" i="2"/>
  <c r="G4909" i="2"/>
  <c r="H4909" i="2" s="1"/>
  <c r="G4908" i="2"/>
  <c r="H4908" i="2" s="1"/>
  <c r="F4907" i="2"/>
  <c r="F4906" i="2" s="1"/>
  <c r="E4907" i="2"/>
  <c r="E4906" i="2" s="1"/>
  <c r="G4904" i="2"/>
  <c r="H4904" i="2" s="1"/>
  <c r="F4903" i="2"/>
  <c r="E4903" i="2"/>
  <c r="G4902" i="2"/>
  <c r="H4902" i="2" s="1"/>
  <c r="F4901" i="2"/>
  <c r="E4901" i="2"/>
  <c r="G4900" i="2"/>
  <c r="H4900" i="2" s="1"/>
  <c r="G4899" i="2"/>
  <c r="H4899" i="2" s="1"/>
  <c r="F4898" i="2"/>
  <c r="E4898" i="2"/>
  <c r="G4897" i="2"/>
  <c r="H4897" i="2" s="1"/>
  <c r="F4896" i="2"/>
  <c r="E4896" i="2"/>
  <c r="G4893" i="2"/>
  <c r="H4893" i="2" s="1"/>
  <c r="F4892" i="2"/>
  <c r="E4892" i="2"/>
  <c r="G4891" i="2"/>
  <c r="H4891" i="2" s="1"/>
  <c r="G4890" i="2"/>
  <c r="H4890" i="2" s="1"/>
  <c r="F4889" i="2"/>
  <c r="E4889" i="2"/>
  <c r="G4888" i="2"/>
  <c r="H4888" i="2" s="1"/>
  <c r="G4887" i="2"/>
  <c r="H4887" i="2" s="1"/>
  <c r="G4886" i="2"/>
  <c r="H4886" i="2" s="1"/>
  <c r="F4885" i="2"/>
  <c r="E4885" i="2"/>
  <c r="G4884" i="2"/>
  <c r="H4884" i="2" s="1"/>
  <c r="G4883" i="2"/>
  <c r="H4883" i="2" s="1"/>
  <c r="G4882" i="2"/>
  <c r="H4882" i="2" s="1"/>
  <c r="F4881" i="2"/>
  <c r="E4881" i="2"/>
  <c r="G4878" i="2"/>
  <c r="H4878" i="2" s="1"/>
  <c r="G4877" i="2"/>
  <c r="H4877" i="2" s="1"/>
  <c r="G4876" i="2"/>
  <c r="H4876" i="2" s="1"/>
  <c r="G4875" i="2"/>
  <c r="H4875" i="2" s="1"/>
  <c r="G4874" i="2"/>
  <c r="H4874" i="2" s="1"/>
  <c r="G4873" i="2"/>
  <c r="H4873" i="2" s="1"/>
  <c r="G4872" i="2"/>
  <c r="H4872" i="2" s="1"/>
  <c r="G4871" i="2"/>
  <c r="H4871" i="2" s="1"/>
  <c r="F4870" i="2"/>
  <c r="F4869" i="2" s="1"/>
  <c r="E4870" i="2"/>
  <c r="E4869" i="2" s="1"/>
  <c r="G4867" i="2"/>
  <c r="F4866" i="2"/>
  <c r="E4866" i="2"/>
  <c r="G4865" i="2"/>
  <c r="F4864" i="2"/>
  <c r="E4864" i="2"/>
  <c r="G4863" i="2"/>
  <c r="G4862" i="2"/>
  <c r="G4861" i="2"/>
  <c r="G4860" i="2"/>
  <c r="G4859" i="2"/>
  <c r="G4858" i="2"/>
  <c r="H4857" i="2"/>
  <c r="F4857" i="2"/>
  <c r="E4857" i="2"/>
  <c r="G4856" i="2"/>
  <c r="H4855" i="2"/>
  <c r="F4855" i="2"/>
  <c r="E4855" i="2"/>
  <c r="G4850" i="2"/>
  <c r="H4850" i="2" s="1"/>
  <c r="G4849" i="2"/>
  <c r="H4849" i="2" s="1"/>
  <c r="E4848" i="2"/>
  <c r="G4846" i="2"/>
  <c r="H4846" i="2" s="1"/>
  <c r="G4845" i="2"/>
  <c r="H4845" i="2" s="1"/>
  <c r="E4844" i="2"/>
  <c r="G4844" i="2" s="1"/>
  <c r="H4844" i="2" s="1"/>
  <c r="G4841" i="2"/>
  <c r="H4841" i="2" s="1"/>
  <c r="E4840" i="2"/>
  <c r="G4840" i="2" s="1"/>
  <c r="H4840" i="2" s="1"/>
  <c r="G4838" i="2"/>
  <c r="H4838" i="2" s="1"/>
  <c r="G4837" i="2"/>
  <c r="H4837" i="2" s="1"/>
  <c r="G4836" i="2"/>
  <c r="H4836" i="2" s="1"/>
  <c r="E4835" i="2"/>
  <c r="G4835" i="2" s="1"/>
  <c r="H4835" i="2" s="1"/>
  <c r="G4832" i="2"/>
  <c r="H4832" i="2" s="1"/>
  <c r="G4831" i="2"/>
  <c r="H4831" i="2" s="1"/>
  <c r="G4830" i="2"/>
  <c r="H4830" i="2" s="1"/>
  <c r="G4829" i="2"/>
  <c r="H4829" i="2" s="1"/>
  <c r="E4828" i="2"/>
  <c r="G4826" i="2"/>
  <c r="H4826" i="2" s="1"/>
  <c r="G4825" i="2"/>
  <c r="H4825" i="2" s="1"/>
  <c r="G4824" i="2"/>
  <c r="H4824" i="2" s="1"/>
  <c r="G4823" i="2"/>
  <c r="H4823" i="2" s="1"/>
  <c r="E4822" i="2"/>
  <c r="G4822" i="2" s="1"/>
  <c r="H4822" i="2" s="1"/>
  <c r="G4820" i="2"/>
  <c r="H4820" i="2" s="1"/>
  <c r="E4818" i="2"/>
  <c r="E4817" i="2" s="1"/>
  <c r="G4815" i="2"/>
  <c r="H4815" i="2" s="1"/>
  <c r="G4814" i="2"/>
  <c r="H4814" i="2" s="1"/>
  <c r="E4813" i="2"/>
  <c r="G4811" i="2"/>
  <c r="H4811" i="2" s="1"/>
  <c r="E4809" i="2"/>
  <c r="G4807" i="2"/>
  <c r="H4807" i="2" s="1"/>
  <c r="G4806" i="2"/>
  <c r="H4806" i="2" s="1"/>
  <c r="G4805" i="2"/>
  <c r="H4805" i="2" s="1"/>
  <c r="E4804" i="2"/>
  <c r="G4802" i="2"/>
  <c r="H4802" i="2" s="1"/>
  <c r="E4800" i="2"/>
  <c r="G4797" i="2"/>
  <c r="H4797" i="2" s="1"/>
  <c r="G4796" i="2"/>
  <c r="H4796" i="2" s="1"/>
  <c r="G4795" i="2"/>
  <c r="H4795" i="2" s="1"/>
  <c r="G4794" i="2"/>
  <c r="H4794" i="2" s="1"/>
  <c r="G4793" i="2"/>
  <c r="H4793" i="2" s="1"/>
  <c r="E4792" i="2"/>
  <c r="G4790" i="2"/>
  <c r="H4790" i="2" s="1"/>
  <c r="G4789" i="2"/>
  <c r="H4789" i="2" s="1"/>
  <c r="G4788" i="2"/>
  <c r="H4788" i="2" s="1"/>
  <c r="G4787" i="2"/>
  <c r="H4787" i="2" s="1"/>
  <c r="G4786" i="2"/>
  <c r="H4786" i="2" s="1"/>
  <c r="G4785" i="2"/>
  <c r="H4785" i="2" s="1"/>
  <c r="G4784" i="2"/>
  <c r="H4784" i="2" s="1"/>
  <c r="G4783" i="2"/>
  <c r="H4783" i="2" s="1"/>
  <c r="E4782" i="2"/>
  <c r="G4780" i="2"/>
  <c r="H4780" i="2" s="1"/>
  <c r="G4779" i="2"/>
  <c r="H4779" i="2" s="1"/>
  <c r="G4778" i="2"/>
  <c r="H4778" i="2" s="1"/>
  <c r="G4777" i="2"/>
  <c r="H4777" i="2" s="1"/>
  <c r="G4776" i="2"/>
  <c r="H4776" i="2" s="1"/>
  <c r="E4775" i="2"/>
  <c r="G4773" i="2"/>
  <c r="H4773" i="2" s="1"/>
  <c r="E4770" i="2"/>
  <c r="G4768" i="2"/>
  <c r="H4768" i="2" s="1"/>
  <c r="G4767" i="2"/>
  <c r="H4767" i="2" s="1"/>
  <c r="G4766" i="2"/>
  <c r="H4766" i="2" s="1"/>
  <c r="G4765" i="2"/>
  <c r="H4765" i="2" s="1"/>
  <c r="G4763" i="2"/>
  <c r="H4763" i="2" s="1"/>
  <c r="G4762" i="2"/>
  <c r="H4762" i="2" s="1"/>
  <c r="G4761" i="2"/>
  <c r="H4761" i="2" s="1"/>
  <c r="G4760" i="2"/>
  <c r="H4760" i="2" s="1"/>
  <c r="G4759" i="2"/>
  <c r="H4759" i="2" s="1"/>
  <c r="G4758" i="2"/>
  <c r="H4758" i="2" s="1"/>
  <c r="G4757" i="2"/>
  <c r="H4757" i="2" s="1"/>
  <c r="G4756" i="2"/>
  <c r="H4756" i="2" s="1"/>
  <c r="G4755" i="2"/>
  <c r="H4755" i="2" s="1"/>
  <c r="G4754" i="2"/>
  <c r="H4754" i="2" s="1"/>
  <c r="G4753" i="2"/>
  <c r="H4753" i="2" s="1"/>
  <c r="G4752" i="2"/>
  <c r="H4752" i="2" s="1"/>
  <c r="G4751" i="2"/>
  <c r="H4751" i="2" s="1"/>
  <c r="G4749" i="2"/>
  <c r="H4749" i="2" s="1"/>
  <c r="G4748" i="2"/>
  <c r="H4748" i="2" s="1"/>
  <c r="G4747" i="2"/>
  <c r="H4747" i="2" s="1"/>
  <c r="G4744" i="2"/>
  <c r="H4744" i="2" s="1"/>
  <c r="H4743" i="2" s="1"/>
  <c r="G4743" i="2"/>
  <c r="G4742" i="2"/>
  <c r="H4742" i="2" s="1"/>
  <c r="H4741" i="2" s="1"/>
  <c r="G4741" i="2"/>
  <c r="G4740" i="2"/>
  <c r="H4740" i="2" s="1"/>
  <c r="G4739" i="2"/>
  <c r="H4739" i="2" s="1"/>
  <c r="G4738" i="2"/>
  <c r="H4738" i="2" s="1"/>
  <c r="G4737" i="2"/>
  <c r="H4737" i="2" s="1"/>
  <c r="G4736" i="2"/>
  <c r="H4736" i="2" s="1"/>
  <c r="G4735" i="2"/>
  <c r="G4734" i="2"/>
  <c r="G4733" i="2"/>
  <c r="H4733" i="2" s="1"/>
  <c r="G4732" i="2"/>
  <c r="H4732" i="2" s="1"/>
  <c r="G4731" i="2"/>
  <c r="H4731" i="2" s="1"/>
  <c r="G4730" i="2"/>
  <c r="H4730" i="2" s="1"/>
  <c r="G4729" i="2"/>
  <c r="H4729" i="2" s="1"/>
  <c r="G4728" i="2"/>
  <c r="H4728" i="2" s="1"/>
  <c r="G4727" i="2"/>
  <c r="G4726" i="2"/>
  <c r="H4726" i="2" s="1"/>
  <c r="H4724" i="2" s="1"/>
  <c r="G4725" i="2"/>
  <c r="G4724" i="2"/>
  <c r="G4723" i="2"/>
  <c r="H4723" i="2" s="1"/>
  <c r="H4721" i="2" s="1"/>
  <c r="G4722" i="2"/>
  <c r="G4721" i="2"/>
  <c r="G4720" i="2"/>
  <c r="G4719" i="2"/>
  <c r="G4718" i="2"/>
  <c r="G4717" i="2"/>
  <c r="G4716" i="2"/>
  <c r="G4715" i="2"/>
  <c r="H4715" i="2" s="1"/>
  <c r="H4713" i="2" s="1"/>
  <c r="G4714" i="2"/>
  <c r="G4713" i="2"/>
  <c r="E4712" i="2"/>
  <c r="E4711" i="2" s="1"/>
  <c r="G4711" i="2" s="1"/>
  <c r="H4711" i="2" s="1"/>
  <c r="G4709" i="2"/>
  <c r="H4709" i="2" s="1"/>
  <c r="G4708" i="2"/>
  <c r="H4708" i="2" s="1"/>
  <c r="G4707" i="2"/>
  <c r="H4707" i="2" s="1"/>
  <c r="G4706" i="2"/>
  <c r="H4706" i="2" s="1"/>
  <c r="G4705" i="2"/>
  <c r="H4705" i="2" s="1"/>
  <c r="G4704" i="2"/>
  <c r="H4704" i="2" s="1"/>
  <c r="G4703" i="2"/>
  <c r="H4703" i="2" s="1"/>
  <c r="G4702" i="2"/>
  <c r="H4702" i="2" s="1"/>
  <c r="G4701" i="2"/>
  <c r="H4701" i="2" s="1"/>
  <c r="G4700" i="2"/>
  <c r="H4700" i="2" s="1"/>
  <c r="G4699" i="2"/>
  <c r="H4699" i="2" s="1"/>
  <c r="G4698" i="2"/>
  <c r="H4698" i="2" s="1"/>
  <c r="G4697" i="2"/>
  <c r="H4697" i="2" s="1"/>
  <c r="G4696" i="2"/>
  <c r="H4696" i="2" s="1"/>
  <c r="G4695" i="2"/>
  <c r="H4695" i="2" s="1"/>
  <c r="G4694" i="2"/>
  <c r="H4694" i="2" s="1"/>
  <c r="G4693" i="2"/>
  <c r="H4693" i="2" s="1"/>
  <c r="G4692" i="2"/>
  <c r="H4692" i="2" s="1"/>
  <c r="G4691" i="2"/>
  <c r="H4691" i="2" s="1"/>
  <c r="G4690" i="2"/>
  <c r="H4690" i="2" s="1"/>
  <c r="G4689" i="2"/>
  <c r="H4689" i="2" s="1"/>
  <c r="G4688" i="2"/>
  <c r="H4688" i="2" s="1"/>
  <c r="G4687" i="2"/>
  <c r="H4687" i="2" s="1"/>
  <c r="G4686" i="2"/>
  <c r="H4686" i="2" s="1"/>
  <c r="G4685" i="2"/>
  <c r="H4685" i="2" s="1"/>
  <c r="G4684" i="2"/>
  <c r="H4684" i="2" s="1"/>
  <c r="G4683" i="2"/>
  <c r="H4683" i="2" s="1"/>
  <c r="G4682" i="2"/>
  <c r="H4682" i="2" s="1"/>
  <c r="G4681" i="2"/>
  <c r="H4681" i="2" s="1"/>
  <c r="G4680" i="2"/>
  <c r="H4680" i="2" s="1"/>
  <c r="G4679" i="2"/>
  <c r="H4679" i="2" s="1"/>
  <c r="E4678" i="2"/>
  <c r="E4677" i="2" s="1"/>
  <c r="G4674" i="2"/>
  <c r="G4673" i="2"/>
  <c r="G4672" i="2"/>
  <c r="H4671" i="2"/>
  <c r="F4671" i="2"/>
  <c r="E4671" i="2"/>
  <c r="G4670" i="2"/>
  <c r="G4669" i="2"/>
  <c r="H4668" i="2"/>
  <c r="F4668" i="2"/>
  <c r="E4668" i="2"/>
  <c r="G4667" i="2"/>
  <c r="G4666" i="2"/>
  <c r="H4665" i="2"/>
  <c r="H4664" i="2" s="1"/>
  <c r="F4665" i="2"/>
  <c r="F4664" i="2" s="1"/>
  <c r="E4665" i="2"/>
  <c r="G4661" i="2"/>
  <c r="H4660" i="2"/>
  <c r="F4660" i="2"/>
  <c r="E4660" i="2"/>
  <c r="G4659" i="2"/>
  <c r="H4658" i="2"/>
  <c r="F4658" i="2"/>
  <c r="E4658" i="2"/>
  <c r="G4657" i="2"/>
  <c r="G4656" i="2"/>
  <c r="G4655" i="2"/>
  <c r="F4654" i="2"/>
  <c r="E4654" i="2"/>
  <c r="H4653" i="2"/>
  <c r="G4651" i="2"/>
  <c r="G4650" i="2"/>
  <c r="G4649" i="2"/>
  <c r="H4648" i="2"/>
  <c r="F4648" i="2"/>
  <c r="E4648" i="2"/>
  <c r="G4647" i="2"/>
  <c r="G4646" i="2"/>
  <c r="G4645" i="2"/>
  <c r="H4644" i="2"/>
  <c r="F4644" i="2"/>
  <c r="E4644" i="2"/>
  <c r="G4643" i="2"/>
  <c r="G4642" i="2"/>
  <c r="H4641" i="2"/>
  <c r="F4641" i="2"/>
  <c r="E4641" i="2"/>
  <c r="G4640" i="2"/>
  <c r="G4639" i="2"/>
  <c r="H4638" i="2"/>
  <c r="F4638" i="2"/>
  <c r="E4638" i="2"/>
  <c r="G4637" i="2"/>
  <c r="H4636" i="2"/>
  <c r="F4636" i="2"/>
  <c r="E4636" i="2"/>
  <c r="G4635" i="2"/>
  <c r="H4634" i="2"/>
  <c r="F4634" i="2"/>
  <c r="E4634" i="2"/>
  <c r="G4633" i="2"/>
  <c r="G4632" i="2"/>
  <c r="G4631" i="2"/>
  <c r="H4630" i="2"/>
  <c r="F4630" i="2"/>
  <c r="E4630" i="2"/>
  <c r="G4629" i="2"/>
  <c r="H4628" i="2"/>
  <c r="F4628" i="2"/>
  <c r="E4628" i="2"/>
  <c r="G4625" i="2"/>
  <c r="H4624" i="2"/>
  <c r="H4623" i="2" s="1"/>
  <c r="F4624" i="2"/>
  <c r="E4624" i="2"/>
  <c r="E4623" i="2" s="1"/>
  <c r="G4621" i="2"/>
  <c r="H4620" i="2"/>
  <c r="H4619" i="2" s="1"/>
  <c r="F4620" i="2"/>
  <c r="F4619" i="2" s="1"/>
  <c r="E4620" i="2"/>
  <c r="E4619" i="2" s="1"/>
  <c r="G4617" i="2"/>
  <c r="G4616" i="2"/>
  <c r="H4615" i="2"/>
  <c r="H4614" i="2" s="1"/>
  <c r="F4615" i="2"/>
  <c r="E4615" i="2"/>
  <c r="E4614" i="2" s="1"/>
  <c r="G4612" i="2"/>
  <c r="H4611" i="2"/>
  <c r="F4611" i="2"/>
  <c r="E4611" i="2"/>
  <c r="G4610" i="2"/>
  <c r="H4609" i="2"/>
  <c r="F4609" i="2"/>
  <c r="E4609" i="2"/>
  <c r="G4608" i="2"/>
  <c r="H4607" i="2"/>
  <c r="F4607" i="2"/>
  <c r="E4607" i="2"/>
  <c r="G4604" i="2"/>
  <c r="H4603" i="2"/>
  <c r="F4603" i="2"/>
  <c r="E4603" i="2"/>
  <c r="G4602" i="2"/>
  <c r="H4601" i="2"/>
  <c r="F4601" i="2"/>
  <c r="F4600" i="2" s="1"/>
  <c r="E4601" i="2"/>
  <c r="G4598" i="2"/>
  <c r="H4597" i="2"/>
  <c r="F4597" i="2"/>
  <c r="E4597" i="2"/>
  <c r="G4596" i="2"/>
  <c r="H4595" i="2"/>
  <c r="F4595" i="2"/>
  <c r="E4595" i="2"/>
  <c r="G4594" i="2"/>
  <c r="H4593" i="2"/>
  <c r="F4593" i="2"/>
  <c r="E4593" i="2"/>
  <c r="G4592" i="2"/>
  <c r="G4591" i="2" s="1"/>
  <c r="H4591" i="2"/>
  <c r="F4591" i="2"/>
  <c r="E4591" i="2"/>
  <c r="G4590" i="2"/>
  <c r="G4589" i="2"/>
  <c r="H4588" i="2"/>
  <c r="F4588" i="2"/>
  <c r="E4588" i="2"/>
  <c r="G4587" i="2"/>
  <c r="G4586" i="2"/>
  <c r="H4585" i="2"/>
  <c r="F4585" i="2"/>
  <c r="E4585" i="2"/>
  <c r="G4584" i="2"/>
  <c r="G4583" i="2"/>
  <c r="H4582" i="2"/>
  <c r="F4582" i="2"/>
  <c r="E4582" i="2"/>
  <c r="G4581" i="2"/>
  <c r="G4580" i="2"/>
  <c r="G4579" i="2"/>
  <c r="F4578" i="2"/>
  <c r="E4578" i="2"/>
  <c r="G4577" i="2"/>
  <c r="H4576" i="2"/>
  <c r="F4576" i="2"/>
  <c r="E4576" i="2"/>
  <c r="G4573" i="2"/>
  <c r="H4572" i="2"/>
  <c r="F4572" i="2"/>
  <c r="F4571" i="2" s="1"/>
  <c r="E4572" i="2"/>
  <c r="E4571" i="2" s="1"/>
  <c r="G4569" i="2"/>
  <c r="G4568" i="2"/>
  <c r="G4567" i="2"/>
  <c r="H4566" i="2"/>
  <c r="F4566" i="2"/>
  <c r="E4566" i="2"/>
  <c r="G4565" i="2"/>
  <c r="G4564" i="2"/>
  <c r="F4563" i="2"/>
  <c r="E4563" i="2"/>
  <c r="G4562" i="2"/>
  <c r="G4561" i="2"/>
  <c r="H4560" i="2"/>
  <c r="F4560" i="2"/>
  <c r="E4560" i="2"/>
  <c r="G4559" i="2"/>
  <c r="G4558" i="2"/>
  <c r="H4557" i="2"/>
  <c r="F4557" i="2"/>
  <c r="E4557" i="2"/>
  <c r="G4556" i="2"/>
  <c r="G4555" i="2"/>
  <c r="G4554" i="2"/>
  <c r="G4553" i="2"/>
  <c r="G4552" i="2"/>
  <c r="G4551" i="2"/>
  <c r="H4550" i="2"/>
  <c r="F4550" i="2"/>
  <c r="E4550" i="2"/>
  <c r="G4546" i="2"/>
  <c r="F4545" i="2"/>
  <c r="F4544" i="2" s="1"/>
  <c r="E4545" i="2"/>
  <c r="E4544" i="2" s="1"/>
  <c r="G4542" i="2"/>
  <c r="F4541" i="2"/>
  <c r="E4541" i="2"/>
  <c r="G4540" i="2"/>
  <c r="H4539" i="2"/>
  <c r="H4538" i="2" s="1"/>
  <c r="F4539" i="2"/>
  <c r="E4539" i="2"/>
  <c r="G4536" i="2"/>
  <c r="F4535" i="2"/>
  <c r="F4534" i="2" s="1"/>
  <c r="E4535" i="2"/>
  <c r="E4534" i="2" s="1"/>
  <c r="G4532" i="2"/>
  <c r="G4531" i="2"/>
  <c r="F4530" i="2"/>
  <c r="F4529" i="2" s="1"/>
  <c r="E4530" i="2"/>
  <c r="E4529" i="2" s="1"/>
  <c r="G4527" i="2"/>
  <c r="F4526" i="2"/>
  <c r="E4526" i="2"/>
  <c r="E4525" i="2" s="1"/>
  <c r="G4523" i="2"/>
  <c r="G4522" i="2"/>
  <c r="F4521" i="2"/>
  <c r="E4521" i="2"/>
  <c r="E4520" i="2" s="1"/>
  <c r="G4518" i="2"/>
  <c r="F4517" i="2"/>
  <c r="E4517" i="2"/>
  <c r="G4516" i="2"/>
  <c r="F4515" i="2"/>
  <c r="E4515" i="2"/>
  <c r="G4514" i="2"/>
  <c r="F4513" i="2"/>
  <c r="E4513" i="2"/>
  <c r="F4509" i="2"/>
  <c r="E4509" i="2"/>
  <c r="E4508" i="2" s="1"/>
  <c r="G4506" i="2"/>
  <c r="F4505" i="2"/>
  <c r="E4505" i="2"/>
  <c r="F4504" i="2"/>
  <c r="E4504" i="2"/>
  <c r="G4502" i="2"/>
  <c r="G4501" i="2"/>
  <c r="F4500" i="2"/>
  <c r="F4499" i="2" s="1"/>
  <c r="E4500" i="2"/>
  <c r="E4499" i="2" s="1"/>
  <c r="G4497" i="2"/>
  <c r="F4496" i="2"/>
  <c r="E4496" i="2"/>
  <c r="G4495" i="2"/>
  <c r="F4494" i="2"/>
  <c r="E4494" i="2"/>
  <c r="G4493" i="2"/>
  <c r="G4492" i="2"/>
  <c r="F4491" i="2"/>
  <c r="E4491" i="2"/>
  <c r="G4490" i="2"/>
  <c r="F4489" i="2"/>
  <c r="E4489" i="2"/>
  <c r="G4488" i="2"/>
  <c r="F4487" i="2"/>
  <c r="E4487" i="2"/>
  <c r="G4486" i="2"/>
  <c r="G4485" i="2"/>
  <c r="F4484" i="2"/>
  <c r="E4484" i="2"/>
  <c r="G4481" i="2"/>
  <c r="G4480" i="2"/>
  <c r="F4479" i="2"/>
  <c r="E4479" i="2"/>
  <c r="G4478" i="2"/>
  <c r="G4477" i="2"/>
  <c r="G4476" i="2"/>
  <c r="G4475" i="2"/>
  <c r="H4474" i="2"/>
  <c r="H4461" i="2" s="1"/>
  <c r="F4474" i="2"/>
  <c r="E4474" i="2"/>
  <c r="G4473" i="2"/>
  <c r="F4472" i="2"/>
  <c r="E4472" i="2"/>
  <c r="G4471" i="2"/>
  <c r="G4470" i="2"/>
  <c r="G4469" i="2"/>
  <c r="G4468" i="2"/>
  <c r="G4467" i="2"/>
  <c r="G4466" i="2"/>
  <c r="G4465" i="2"/>
  <c r="G4464" i="2"/>
  <c r="G4463" i="2"/>
  <c r="F4462" i="2"/>
  <c r="E4462" i="2"/>
  <c r="G4458" i="2"/>
  <c r="H4458" i="2" s="1"/>
  <c r="E4457" i="2"/>
  <c r="G4457" i="2" s="1"/>
  <c r="H4457" i="2" s="1"/>
  <c r="F4456" i="2"/>
  <c r="F4455" i="2" s="1"/>
  <c r="G4452" i="2"/>
  <c r="H4452" i="2" s="1"/>
  <c r="G4451" i="2"/>
  <c r="H4451" i="2" s="1"/>
  <c r="F4450" i="2"/>
  <c r="F4449" i="2" s="1"/>
  <c r="E4450" i="2"/>
  <c r="E4449" i="2" s="1"/>
  <c r="G4447" i="2"/>
  <c r="H4447" i="2" s="1"/>
  <c r="G4446" i="2"/>
  <c r="H4446" i="2" s="1"/>
  <c r="F4445" i="2"/>
  <c r="E4445" i="2"/>
  <c r="G4444" i="2"/>
  <c r="H4444" i="2" s="1"/>
  <c r="G4443" i="2"/>
  <c r="H4443" i="2" s="1"/>
  <c r="F4442" i="2"/>
  <c r="E4442" i="2"/>
  <c r="E4441" i="2" s="1"/>
  <c r="G4439" i="2"/>
  <c r="H4439" i="2" s="1"/>
  <c r="F4438" i="2"/>
  <c r="E4438" i="2"/>
  <c r="G4437" i="2"/>
  <c r="H4437" i="2" s="1"/>
  <c r="G4436" i="2"/>
  <c r="H4436" i="2" s="1"/>
  <c r="G4435" i="2"/>
  <c r="H4435" i="2" s="1"/>
  <c r="F4434" i="2"/>
  <c r="E4434" i="2"/>
  <c r="G4431" i="2"/>
  <c r="H4431" i="2" s="1"/>
  <c r="G4430" i="2"/>
  <c r="H4430" i="2" s="1"/>
  <c r="G4429" i="2"/>
  <c r="H4429" i="2" s="1"/>
  <c r="F4428" i="2"/>
  <c r="E4428" i="2"/>
  <c r="G4427" i="2"/>
  <c r="H4427" i="2" s="1"/>
  <c r="G4426" i="2"/>
  <c r="H4426" i="2" s="1"/>
  <c r="F4425" i="2"/>
  <c r="E4425" i="2"/>
  <c r="G4424" i="2"/>
  <c r="H4424" i="2" s="1"/>
  <c r="G4423" i="2"/>
  <c r="H4423" i="2" s="1"/>
  <c r="F4422" i="2"/>
  <c r="E4422" i="2"/>
  <c r="G4421" i="2"/>
  <c r="H4421" i="2" s="1"/>
  <c r="G4420" i="2"/>
  <c r="H4420" i="2" s="1"/>
  <c r="F4419" i="2"/>
  <c r="F4418" i="2" s="1"/>
  <c r="E4419" i="2"/>
  <c r="E4418" i="2" s="1"/>
  <c r="G4416" i="2"/>
  <c r="H4416" i="2" s="1"/>
  <c r="G4415" i="2"/>
  <c r="H4415" i="2" s="1"/>
  <c r="F4414" i="2"/>
  <c r="H4414" i="2" s="1"/>
  <c r="E4414" i="2"/>
  <c r="H4411" i="2"/>
  <c r="G4411" i="2"/>
  <c r="F4410" i="2"/>
  <c r="F4409" i="2" s="1"/>
  <c r="E4410" i="2"/>
  <c r="E4409" i="2" s="1"/>
  <c r="F4407" i="2"/>
  <c r="G4407" i="2" s="1"/>
  <c r="E4406" i="2"/>
  <c r="H4405" i="2"/>
  <c r="G4405" i="2"/>
  <c r="F4404" i="2"/>
  <c r="F4403" i="2" s="1"/>
  <c r="E4404" i="2"/>
  <c r="E4403" i="2" s="1"/>
  <c r="H4401" i="2"/>
  <c r="G4401" i="2"/>
  <c r="F4400" i="2"/>
  <c r="E4400" i="2"/>
  <c r="H4399" i="2"/>
  <c r="G4399" i="2"/>
  <c r="F4398" i="2"/>
  <c r="E4398" i="2"/>
  <c r="H4397" i="2"/>
  <c r="G4397" i="2"/>
  <c r="F4396" i="2"/>
  <c r="E4396" i="2"/>
  <c r="H4393" i="2"/>
  <c r="G4393" i="2"/>
  <c r="F4392" i="2"/>
  <c r="E4392" i="2"/>
  <c r="H4391" i="2"/>
  <c r="G4391" i="2"/>
  <c r="F4390" i="2"/>
  <c r="E4390" i="2"/>
  <c r="H4387" i="2"/>
  <c r="G4387" i="2"/>
  <c r="H4386" i="2"/>
  <c r="G4386" i="2"/>
  <c r="F4385" i="2"/>
  <c r="E4385" i="2"/>
  <c r="H4384" i="2"/>
  <c r="G4384" i="2"/>
  <c r="F4383" i="2"/>
  <c r="E4383" i="2"/>
  <c r="H4382" i="2"/>
  <c r="G4382" i="2"/>
  <c r="H4381" i="2"/>
  <c r="G4381" i="2"/>
  <c r="F4380" i="2"/>
  <c r="E4380" i="2"/>
  <c r="H4379" i="2"/>
  <c r="G4379" i="2"/>
  <c r="H4378" i="2"/>
  <c r="G4378" i="2"/>
  <c r="F4377" i="2"/>
  <c r="E4377" i="2"/>
  <c r="H4376" i="2"/>
  <c r="G4376" i="2"/>
  <c r="F4375" i="2"/>
  <c r="E4375" i="2"/>
  <c r="H4374" i="2"/>
  <c r="G4374" i="2"/>
  <c r="F4373" i="2"/>
  <c r="E4373" i="2"/>
  <c r="H4372" i="2"/>
  <c r="G4372" i="2"/>
  <c r="H4371" i="2"/>
  <c r="G4371" i="2"/>
  <c r="H4370" i="2"/>
  <c r="G4370" i="2"/>
  <c r="F4369" i="2"/>
  <c r="E4369" i="2"/>
  <c r="H4368" i="2"/>
  <c r="G4368" i="2"/>
  <c r="F4367" i="2"/>
  <c r="E4367" i="2"/>
  <c r="H4364" i="2"/>
  <c r="G4364" i="2"/>
  <c r="H4363" i="2"/>
  <c r="G4363" i="2"/>
  <c r="F4362" i="2"/>
  <c r="E4362" i="2"/>
  <c r="H4361" i="2"/>
  <c r="G4361" i="2"/>
  <c r="F4360" i="2"/>
  <c r="E4360" i="2"/>
  <c r="H4359" i="2"/>
  <c r="G4359" i="2"/>
  <c r="H4358" i="2"/>
  <c r="G4358" i="2"/>
  <c r="H4357" i="2"/>
  <c r="G4357" i="2"/>
  <c r="H4356" i="2"/>
  <c r="G4356" i="2"/>
  <c r="H4355" i="2"/>
  <c r="G4355" i="2"/>
  <c r="H4354" i="2"/>
  <c r="G4354" i="2"/>
  <c r="H4353" i="2"/>
  <c r="G4353" i="2"/>
  <c r="F4352" i="2"/>
  <c r="E4352" i="2"/>
  <c r="H4351" i="2"/>
  <c r="G4351" i="2"/>
  <c r="H4350" i="2"/>
  <c r="G4350" i="2"/>
  <c r="H4349" i="2"/>
  <c r="G4349" i="2"/>
  <c r="H4348" i="2"/>
  <c r="G4348" i="2"/>
  <c r="H4347" i="2"/>
  <c r="G4347" i="2"/>
  <c r="F4346" i="2"/>
  <c r="E4346" i="2"/>
  <c r="G4342" i="2"/>
  <c r="G4341" i="2"/>
  <c r="G4340" i="2"/>
  <c r="G4339" i="2"/>
  <c r="G4338" i="2"/>
  <c r="G4337" i="2"/>
  <c r="G4336" i="2"/>
  <c r="G4335" i="2"/>
  <c r="G4334" i="2"/>
  <c r="F4333" i="2"/>
  <c r="G4333" i="2" s="1"/>
  <c r="G4332" i="2"/>
  <c r="F4331" i="2"/>
  <c r="G4331" i="2" s="1"/>
  <c r="G4328" i="2"/>
  <c r="F4327" i="2"/>
  <c r="G4327" i="2" s="1"/>
  <c r="G4326" i="2"/>
  <c r="F4325" i="2"/>
  <c r="G4325" i="2" s="1"/>
  <c r="G4324" i="2"/>
  <c r="F4323" i="2"/>
  <c r="G4323" i="2" s="1"/>
  <c r="G4322" i="2"/>
  <c r="F4321" i="2"/>
  <c r="G4321" i="2" s="1"/>
  <c r="G4318" i="2"/>
  <c r="F4317" i="2"/>
  <c r="G4317" i="2" s="1"/>
  <c r="G4314" i="2"/>
  <c r="F4313" i="2"/>
  <c r="G4313" i="2" s="1"/>
  <c r="G4312" i="2"/>
  <c r="F4311" i="2"/>
  <c r="G4311" i="2" s="1"/>
  <c r="G4310" i="2"/>
  <c r="G4309" i="2"/>
  <c r="G4308" i="2"/>
  <c r="F4307" i="2"/>
  <c r="G4307" i="2" s="1"/>
  <c r="G4306" i="2"/>
  <c r="F4305" i="2"/>
  <c r="G4305" i="2" s="1"/>
  <c r="G4304" i="2"/>
  <c r="F4303" i="2"/>
  <c r="G4303" i="2" s="1"/>
  <c r="G4300" i="2"/>
  <c r="F4299" i="2"/>
  <c r="G4299" i="2" s="1"/>
  <c r="G4296" i="2"/>
  <c r="G4295" i="2"/>
  <c r="G4294" i="2"/>
  <c r="G4293" i="2"/>
  <c r="G4292" i="2"/>
  <c r="F4291" i="2"/>
  <c r="F4290" i="2" s="1"/>
  <c r="G4290" i="2" s="1"/>
  <c r="G4288" i="2"/>
  <c r="F4287" i="2"/>
  <c r="G4284" i="2"/>
  <c r="G4283" i="2"/>
  <c r="G4282" i="2"/>
  <c r="F4281" i="2"/>
  <c r="G4281" i="2" s="1"/>
  <c r="G4280" i="2"/>
  <c r="F4279" i="2"/>
  <c r="G4279" i="2" s="1"/>
  <c r="G4276" i="2"/>
  <c r="F4275" i="2"/>
  <c r="F4274" i="2" s="1"/>
  <c r="G4274" i="2" s="1"/>
  <c r="G4272" i="2"/>
  <c r="F4271" i="2"/>
  <c r="G4271" i="2" s="1"/>
  <c r="G4268" i="2"/>
  <c r="F4267" i="2"/>
  <c r="G4267" i="2" s="1"/>
  <c r="G4264" i="2"/>
  <c r="F4263" i="2"/>
  <c r="G4263" i="2" s="1"/>
  <c r="G4260" i="2"/>
  <c r="F4259" i="2"/>
  <c r="G4259" i="2" s="1"/>
  <c r="G4258" i="2"/>
  <c r="F4257" i="2"/>
  <c r="G4257" i="2" s="1"/>
  <c r="G4256" i="2"/>
  <c r="F4255" i="2"/>
  <c r="G4255" i="2" s="1"/>
  <c r="G4254" i="2"/>
  <c r="G4253" i="2"/>
  <c r="F4252" i="2"/>
  <c r="G4252" i="2" s="1"/>
  <c r="G4251" i="2"/>
  <c r="F4250" i="2"/>
  <c r="G4250" i="2" s="1"/>
  <c r="G4249" i="2"/>
  <c r="G4248" i="2"/>
  <c r="F4247" i="2"/>
  <c r="G4247" i="2" s="1"/>
  <c r="G4246" i="2"/>
  <c r="G4245" i="2"/>
  <c r="G4244" i="2"/>
  <c r="G4243" i="2"/>
  <c r="G4242" i="2"/>
  <c r="F4241" i="2"/>
  <c r="G4241" i="2" s="1"/>
  <c r="G4240" i="2"/>
  <c r="F4239" i="2"/>
  <c r="G4239" i="2" s="1"/>
  <c r="G4238" i="2"/>
  <c r="G4237" i="2"/>
  <c r="G4236" i="2"/>
  <c r="F4235" i="2"/>
  <c r="G4235" i="2" s="1"/>
  <c r="G4234" i="2"/>
  <c r="F4233" i="2"/>
  <c r="G4233" i="2" s="1"/>
  <c r="G4230" i="2"/>
  <c r="F4229" i="2"/>
  <c r="G4229" i="2" s="1"/>
  <c r="G4228" i="2"/>
  <c r="G4227" i="2"/>
  <c r="F4226" i="2"/>
  <c r="G4226" i="2" s="1"/>
  <c r="G4225" i="2"/>
  <c r="G4224" i="2"/>
  <c r="F4223" i="2"/>
  <c r="G4223" i="2" s="1"/>
  <c r="G4222" i="2"/>
  <c r="G4221" i="2"/>
  <c r="G4220" i="2"/>
  <c r="G4219" i="2"/>
  <c r="G4218" i="2"/>
  <c r="G4217" i="2"/>
  <c r="G4216" i="2"/>
  <c r="G4215" i="2"/>
  <c r="G4214" i="2"/>
  <c r="G4213" i="2"/>
  <c r="G4212" i="2"/>
  <c r="F4211" i="2"/>
  <c r="G4211" i="2" s="1"/>
  <c r="G4210" i="2"/>
  <c r="F4209" i="2"/>
  <c r="H4207" i="2"/>
  <c r="H4205" i="2"/>
  <c r="H4204" i="2"/>
  <c r="E4204" i="2"/>
  <c r="G4203" i="2"/>
  <c r="F4202" i="2"/>
  <c r="F4201" i="2" s="1"/>
  <c r="E4202" i="2"/>
  <c r="G4199" i="2"/>
  <c r="H4199" i="2" s="1"/>
  <c r="G4198" i="2"/>
  <c r="H4198" i="2" s="1"/>
  <c r="F4197" i="2"/>
  <c r="H4196" i="2"/>
  <c r="H4195" i="2"/>
  <c r="E4194" i="2"/>
  <c r="G4192" i="2"/>
  <c r="H4192" i="2" s="1"/>
  <c r="H4190" i="2"/>
  <c r="F4189" i="2"/>
  <c r="G4189" i="2" s="1"/>
  <c r="G4186" i="2"/>
  <c r="H4186" i="2" s="1"/>
  <c r="G4185" i="2"/>
  <c r="H4185" i="2" s="1"/>
  <c r="F4184" i="2"/>
  <c r="F4183" i="2" s="1"/>
  <c r="G4183" i="2" s="1"/>
  <c r="H4183" i="2" s="1"/>
  <c r="E4184" i="2"/>
  <c r="G4181" i="2"/>
  <c r="F4180" i="2"/>
  <c r="G4177" i="2"/>
  <c r="H4177" i="2" s="1"/>
  <c r="F4176" i="2"/>
  <c r="G4176" i="2" s="1"/>
  <c r="H4176" i="2" s="1"/>
  <c r="H4175" i="2"/>
  <c r="H4174" i="2"/>
  <c r="H4173" i="2"/>
  <c r="H4172" i="2"/>
  <c r="H4171" i="2"/>
  <c r="G4170" i="2"/>
  <c r="G4169" i="2"/>
  <c r="G4168" i="2"/>
  <c r="G4167" i="2"/>
  <c r="G4166" i="2"/>
  <c r="G4165" i="2"/>
  <c r="G4164" i="2"/>
  <c r="F4163" i="2"/>
  <c r="G4163" i="2" s="1"/>
  <c r="G4162" i="2"/>
  <c r="H4162" i="2" s="1"/>
  <c r="G4161" i="2"/>
  <c r="H4161" i="2" s="1"/>
  <c r="G4160" i="2"/>
  <c r="F4158" i="2"/>
  <c r="G4158" i="2" s="1"/>
  <c r="G4157" i="2"/>
  <c r="H4157" i="2" s="1"/>
  <c r="H4153" i="2" s="1"/>
  <c r="G4156" i="2"/>
  <c r="G4155" i="2"/>
  <c r="G4154" i="2"/>
  <c r="F4153" i="2"/>
  <c r="G4153" i="2" s="1"/>
  <c r="E4152" i="2"/>
  <c r="G4150" i="2"/>
  <c r="H4150" i="2" s="1"/>
  <c r="H4149" i="2"/>
  <c r="H4148" i="2"/>
  <c r="F4147" i="2"/>
  <c r="F4146" i="2" s="1"/>
  <c r="G4146" i="2" s="1"/>
  <c r="H4146" i="2" s="1"/>
  <c r="E4147" i="2"/>
  <c r="H4144" i="2"/>
  <c r="H4143" i="2"/>
  <c r="H4142" i="2"/>
  <c r="G4141" i="2"/>
  <c r="G4140" i="2"/>
  <c r="G4139" i="2"/>
  <c r="F4138" i="2"/>
  <c r="E4138" i="2"/>
  <c r="G4137" i="2"/>
  <c r="G4136" i="2"/>
  <c r="F4135" i="2"/>
  <c r="E4135" i="2"/>
  <c r="G4133" i="2"/>
  <c r="H4133" i="2" s="1"/>
  <c r="G4132" i="2"/>
  <c r="H4132" i="2" s="1"/>
  <c r="G4131" i="2"/>
  <c r="H4131" i="2" s="1"/>
  <c r="G4130" i="2"/>
  <c r="H4130" i="2" s="1"/>
  <c r="G4129" i="2"/>
  <c r="H4129" i="2" s="1"/>
  <c r="G4128" i="2"/>
  <c r="H4128" i="2" s="1"/>
  <c r="H4127" i="2"/>
  <c r="G4126" i="2"/>
  <c r="H4126" i="2" s="1"/>
  <c r="F4125" i="2"/>
  <c r="E4125" i="2"/>
  <c r="G4121" i="2"/>
  <c r="H4121" i="2" s="1"/>
  <c r="G4120" i="2"/>
  <c r="F4119" i="2"/>
  <c r="G4119" i="2" s="1"/>
  <c r="H4117" i="2"/>
  <c r="G4116" i="2"/>
  <c r="H4116" i="2" s="1"/>
  <c r="G4115" i="2"/>
  <c r="H4115" i="2" s="1"/>
  <c r="H4114" i="2"/>
  <c r="F4113" i="2"/>
  <c r="E4113" i="2"/>
  <c r="G4112" i="2"/>
  <c r="H4112" i="2" s="1"/>
  <c r="H4111" i="2"/>
  <c r="F4110" i="2"/>
  <c r="E4110" i="2"/>
  <c r="G4109" i="2"/>
  <c r="H4109" i="2" s="1"/>
  <c r="G4108" i="2"/>
  <c r="H4108" i="2" s="1"/>
  <c r="G4107" i="2"/>
  <c r="H4107" i="2" s="1"/>
  <c r="H4106" i="2"/>
  <c r="F4105" i="2"/>
  <c r="E4105" i="2"/>
  <c r="H4103" i="2"/>
  <c r="G4102" i="2"/>
  <c r="H4102" i="2" s="1"/>
  <c r="H4101" i="2"/>
  <c r="G4100" i="2"/>
  <c r="F4099" i="2"/>
  <c r="F4098" i="2" s="1"/>
  <c r="G4098" i="2" s="1"/>
  <c r="E4099" i="2"/>
  <c r="G4096" i="2"/>
  <c r="H4096" i="2" s="1"/>
  <c r="F4095" i="2"/>
  <c r="E4095" i="2"/>
  <c r="G4094" i="2"/>
  <c r="H4094" i="2" s="1"/>
  <c r="G4093" i="2"/>
  <c r="H4093" i="2" s="1"/>
  <c r="G4092" i="2"/>
  <c r="G4091" i="2"/>
  <c r="F4090" i="2"/>
  <c r="E4090" i="2"/>
  <c r="G4089" i="2"/>
  <c r="H4089" i="2" s="1"/>
  <c r="G4088" i="2"/>
  <c r="H4088" i="2" s="1"/>
  <c r="G4087" i="2"/>
  <c r="H4087" i="2" s="1"/>
  <c r="G4086" i="2"/>
  <c r="F4085" i="2"/>
  <c r="E4085" i="2"/>
  <c r="G4082" i="2"/>
  <c r="H4082" i="2" s="1"/>
  <c r="F4081" i="2"/>
  <c r="G4081" i="2" s="1"/>
  <c r="H4081" i="2" s="1"/>
  <c r="H4078" i="2"/>
  <c r="H4077" i="2"/>
  <c r="G4076" i="2"/>
  <c r="F4075" i="2"/>
  <c r="G4075" i="2" s="1"/>
  <c r="E4073" i="2"/>
  <c r="G4071" i="2"/>
  <c r="H4071" i="2" s="1"/>
  <c r="G4070" i="2"/>
  <c r="H4070" i="2" s="1"/>
  <c r="G4069" i="2"/>
  <c r="H4069" i="2" s="1"/>
  <c r="F4068" i="2"/>
  <c r="G4068" i="2" s="1"/>
  <c r="H4068" i="2" s="1"/>
  <c r="G4065" i="2"/>
  <c r="F4064" i="2"/>
  <c r="G4064" i="2" s="1"/>
  <c r="G4061" i="2"/>
  <c r="F4060" i="2"/>
  <c r="G4060" i="2" s="1"/>
  <c r="G4057" i="2"/>
  <c r="F4056" i="2"/>
  <c r="G4056" i="2" s="1"/>
  <c r="G4055" i="2"/>
  <c r="F4054" i="2"/>
  <c r="G4054" i="2" s="1"/>
  <c r="G4053" i="2"/>
  <c r="H4053" i="2" s="1"/>
  <c r="F4052" i="2"/>
  <c r="G4052" i="2" s="1"/>
  <c r="H4052" i="2" s="1"/>
  <c r="G4051" i="2"/>
  <c r="F4050" i="2"/>
  <c r="G4050" i="2" s="1"/>
  <c r="G4049" i="2"/>
  <c r="F4048" i="2"/>
  <c r="G4048" i="2" s="1"/>
  <c r="G4047" i="2"/>
  <c r="H4047" i="2" s="1"/>
  <c r="F4046" i="2"/>
  <c r="G4046" i="2" s="1"/>
  <c r="H4046" i="2" s="1"/>
  <c r="G4043" i="2"/>
  <c r="H4043" i="2" s="1"/>
  <c r="G4042" i="2"/>
  <c r="H4042" i="2" s="1"/>
  <c r="G4041" i="2"/>
  <c r="H4041" i="2" s="1"/>
  <c r="H4040" i="2"/>
  <c r="F4039" i="2"/>
  <c r="E4039" i="2"/>
  <c r="G4038" i="2"/>
  <c r="F4037" i="2"/>
  <c r="E4037" i="2"/>
  <c r="H4036" i="2"/>
  <c r="H4035" i="2"/>
  <c r="E4035" i="2"/>
  <c r="G4034" i="2"/>
  <c r="H4034" i="2" s="1"/>
  <c r="H4033" i="2"/>
  <c r="H4032" i="2"/>
  <c r="H4031" i="2"/>
  <c r="G4030" i="2"/>
  <c r="H4030" i="2" s="1"/>
  <c r="G4029" i="2"/>
  <c r="H4029" i="2" s="1"/>
  <c r="G4028" i="2"/>
  <c r="H4028" i="2" s="1"/>
  <c r="H4027" i="2"/>
  <c r="G4026" i="2"/>
  <c r="H4026" i="2" s="1"/>
  <c r="H4025" i="2"/>
  <c r="G4024" i="2"/>
  <c r="H4024" i="2" s="1"/>
  <c r="G4023" i="2"/>
  <c r="H4023" i="2" s="1"/>
  <c r="F4022" i="2"/>
  <c r="E4022" i="2"/>
  <c r="E4017" i="2"/>
  <c r="G4016" i="2"/>
  <c r="H4016" i="2" s="1"/>
  <c r="H4012" i="2" s="1"/>
  <c r="G4014" i="2"/>
  <c r="F4012" i="2"/>
  <c r="E4012" i="2"/>
  <c r="E4007" i="2"/>
  <c r="G4006" i="2"/>
  <c r="H4006" i="2" s="1"/>
  <c r="F4005" i="2"/>
  <c r="E4005" i="2"/>
  <c r="G4004" i="2"/>
  <c r="H4004" i="2" s="1"/>
  <c r="G4003" i="2"/>
  <c r="F4002" i="2"/>
  <c r="E4002" i="2"/>
  <c r="G3999" i="2"/>
  <c r="H3999" i="2" s="1"/>
  <c r="F3998" i="2"/>
  <c r="G3998" i="2" s="1"/>
  <c r="H3998" i="2" s="1"/>
  <c r="G3997" i="2"/>
  <c r="F3996" i="2"/>
  <c r="G3996" i="2" s="1"/>
  <c r="G3995" i="2"/>
  <c r="H3995" i="2" s="1"/>
  <c r="F3994" i="2"/>
  <c r="G3994" i="2" s="1"/>
  <c r="H3994" i="2" s="1"/>
  <c r="G3993" i="2"/>
  <c r="G3992" i="2"/>
  <c r="G3991" i="2"/>
  <c r="G3990" i="2"/>
  <c r="G3989" i="2"/>
  <c r="H3989" i="2" s="1"/>
  <c r="H3987" i="2" s="1"/>
  <c r="G3988" i="2"/>
  <c r="F3987" i="2"/>
  <c r="E3987" i="2"/>
  <c r="G3986" i="2"/>
  <c r="H3986" i="2" s="1"/>
  <c r="G3985" i="2"/>
  <c r="H3985" i="2" s="1"/>
  <c r="G3984" i="2"/>
  <c r="G3983" i="2"/>
  <c r="G3982" i="2"/>
  <c r="G3981" i="2"/>
  <c r="G3980" i="2"/>
  <c r="H3980" i="2" s="1"/>
  <c r="G3979" i="2"/>
  <c r="G3978" i="2"/>
  <c r="H3978" i="2" s="1"/>
  <c r="G3977" i="2"/>
  <c r="H3977" i="2" s="1"/>
  <c r="G3976" i="2"/>
  <c r="H3976" i="2" s="1"/>
  <c r="G3975" i="2"/>
  <c r="H3975" i="2" s="1"/>
  <c r="G3974" i="2"/>
  <c r="G3973" i="2"/>
  <c r="G3972" i="2"/>
  <c r="G3971" i="2"/>
  <c r="G3970" i="2"/>
  <c r="G3969" i="2"/>
  <c r="G3968" i="2"/>
  <c r="H3968" i="2" s="1"/>
  <c r="G3967" i="2"/>
  <c r="G3966" i="2"/>
  <c r="G3965" i="2"/>
  <c r="F3964" i="2"/>
  <c r="E3964" i="2"/>
  <c r="G3962" i="2"/>
  <c r="G3961" i="2"/>
  <c r="G3960" i="2"/>
  <c r="G3959" i="2"/>
  <c r="G3958" i="2"/>
  <c r="G3957" i="2"/>
  <c r="G3956" i="2"/>
  <c r="H3956" i="2" s="1"/>
  <c r="H3955" i="2" s="1"/>
  <c r="F3955" i="2"/>
  <c r="E3955" i="2"/>
  <c r="F3948" i="2"/>
  <c r="F3946" i="2"/>
  <c r="E3945" i="2"/>
  <c r="E3944" i="2" s="1"/>
  <c r="E3943" i="2" s="1"/>
  <c r="F3938" i="2"/>
  <c r="G3938" i="2" s="1"/>
  <c r="F3937" i="2"/>
  <c r="G3937" i="2" s="1"/>
  <c r="F3936" i="2"/>
  <c r="G3935" i="2"/>
  <c r="G3934" i="2"/>
  <c r="E3933" i="2"/>
  <c r="E3930" i="2" s="1"/>
  <c r="F3932" i="2"/>
  <c r="G3932" i="2" s="1"/>
  <c r="G3928" i="2"/>
  <c r="G3927" i="2"/>
  <c r="G3926" i="2"/>
  <c r="F3920" i="2"/>
  <c r="E3920" i="2"/>
  <c r="G3918" i="2"/>
  <c r="G3917" i="2"/>
  <c r="G3916" i="2"/>
  <c r="G3914" i="2"/>
  <c r="G3913" i="2"/>
  <c r="G3912" i="2"/>
  <c r="F3911" i="2"/>
  <c r="E3910" i="2"/>
  <c r="F3908" i="2"/>
  <c r="G3908" i="2" s="1"/>
  <c r="G3907" i="2"/>
  <c r="F3906" i="2"/>
  <c r="G3906" i="2" s="1"/>
  <c r="F3905" i="2"/>
  <c r="G3905" i="2" s="1"/>
  <c r="E3904" i="2"/>
  <c r="E3903" i="2" s="1"/>
  <c r="F3901" i="2"/>
  <c r="F3897" i="2"/>
  <c r="F3895" i="2"/>
  <c r="F3894" i="2" s="1"/>
  <c r="G3894" i="2" s="1"/>
  <c r="F3893" i="2"/>
  <c r="F3892" i="2" s="1"/>
  <c r="E3891" i="2"/>
  <c r="F3885" i="2"/>
  <c r="F3883" i="2"/>
  <c r="G3883" i="2" s="1"/>
  <c r="F3882" i="2"/>
  <c r="G3882" i="2" s="1"/>
  <c r="E3881" i="2"/>
  <c r="F3880" i="2"/>
  <c r="G3880" i="2" s="1"/>
  <c r="G3879" i="2"/>
  <c r="G3878" i="2"/>
  <c r="F3877" i="2"/>
  <c r="E3876" i="2"/>
  <c r="F3875" i="2"/>
  <c r="F3874" i="2" s="1"/>
  <c r="G3874" i="2" s="1"/>
  <c r="F3873" i="2"/>
  <c r="F3872" i="2" s="1"/>
  <c r="F3864" i="2"/>
  <c r="F3862" i="2"/>
  <c r="F3861" i="2"/>
  <c r="F3859" i="2"/>
  <c r="F3858" i="2"/>
  <c r="F3856" i="2"/>
  <c r="F3855" i="2" s="1"/>
  <c r="F3854" i="2"/>
  <c r="F3852" i="2"/>
  <c r="G3852" i="2" s="1"/>
  <c r="F3851" i="2"/>
  <c r="G3851" i="2" s="1"/>
  <c r="F3850" i="2"/>
  <c r="G3850" i="2" s="1"/>
  <c r="F3849" i="2"/>
  <c r="G3849" i="2" s="1"/>
  <c r="F3847" i="2"/>
  <c r="G3847" i="2" s="1"/>
  <c r="F3846" i="2"/>
  <c r="G3846" i="2" s="1"/>
  <c r="F3844" i="2"/>
  <c r="F3843" i="2" s="1"/>
  <c r="G3839" i="2"/>
  <c r="G3838" i="2" s="1"/>
  <c r="G3837" i="2" s="1"/>
  <c r="G3835" i="2"/>
  <c r="G3834" i="2"/>
  <c r="F3833" i="2"/>
  <c r="G3833" i="2" s="1"/>
  <c r="G3830" i="2"/>
  <c r="F3829" i="2"/>
  <c r="G3829" i="2" s="1"/>
  <c r="G3825" i="2"/>
  <c r="F3824" i="2"/>
  <c r="G3824" i="2" s="1"/>
  <c r="G3823" i="2"/>
  <c r="F3822" i="2"/>
  <c r="G3822" i="2" s="1"/>
  <c r="G3821" i="2"/>
  <c r="G3820" i="2"/>
  <c r="G3819" i="2"/>
  <c r="G3818" i="2"/>
  <c r="F3817" i="2"/>
  <c r="G3817" i="2" s="1"/>
  <c r="G3814" i="2"/>
  <c r="F3813" i="2"/>
  <c r="G3810" i="2"/>
  <c r="F3809" i="2"/>
  <c r="G3809" i="2" s="1"/>
  <c r="G3806" i="2"/>
  <c r="G3805" i="2"/>
  <c r="F3804" i="2"/>
  <c r="G3804" i="2" s="1"/>
  <c r="G3801" i="2"/>
  <c r="F3800" i="2"/>
  <c r="G3797" i="2"/>
  <c r="G3796" i="2"/>
  <c r="F3795" i="2"/>
  <c r="F3794" i="2" s="1"/>
  <c r="G3794" i="2" s="1"/>
  <c r="G3793" i="2"/>
  <c r="G3791" i="2"/>
  <c r="F3790" i="2"/>
  <c r="G3790" i="2" s="1"/>
  <c r="G3787" i="2"/>
  <c r="F3786" i="2"/>
  <c r="G3786" i="2" s="1"/>
  <c r="G3785" i="2"/>
  <c r="F3784" i="2"/>
  <c r="G3784" i="2" s="1"/>
  <c r="E3783" i="2"/>
  <c r="G3780" i="2"/>
  <c r="F3779" i="2"/>
  <c r="G3779" i="2" s="1"/>
  <c r="G3778" i="2"/>
  <c r="G3777" i="2"/>
  <c r="F3776" i="2"/>
  <c r="G3776" i="2" s="1"/>
  <c r="G3775" i="2"/>
  <c r="F3774" i="2"/>
  <c r="G3774" i="2" s="1"/>
  <c r="G3773" i="2"/>
  <c r="G3772" i="2"/>
  <c r="F3771" i="2"/>
  <c r="G3768" i="2"/>
  <c r="F3767" i="2"/>
  <c r="G3764" i="2"/>
  <c r="G3763" i="2"/>
  <c r="F3762" i="2"/>
  <c r="G3762" i="2" s="1"/>
  <c r="G3761" i="2"/>
  <c r="F3760" i="2"/>
  <c r="G3760" i="2" s="1"/>
  <c r="G3759" i="2"/>
  <c r="F3758" i="2"/>
  <c r="G3758" i="2" s="1"/>
  <c r="G3757" i="2"/>
  <c r="F3756" i="2"/>
  <c r="G3756" i="2" s="1"/>
  <c r="G3755" i="2"/>
  <c r="G3754" i="2"/>
  <c r="G3753" i="2"/>
  <c r="G3752" i="2"/>
  <c r="F3751" i="2"/>
  <c r="G3751" i="2" s="1"/>
  <c r="G3750" i="2"/>
  <c r="F3749" i="2"/>
  <c r="G3749" i="2" s="1"/>
  <c r="G3748" i="2"/>
  <c r="F3747" i="2"/>
  <c r="G3747" i="2" s="1"/>
  <c r="G3746" i="2"/>
  <c r="F3745" i="2"/>
  <c r="G3745" i="2" s="1"/>
  <c r="G3744" i="2"/>
  <c r="F3743" i="2"/>
  <c r="E3742" i="2"/>
  <c r="G3740" i="2"/>
  <c r="F3739" i="2"/>
  <c r="G3736" i="2"/>
  <c r="F3735" i="2"/>
  <c r="G3735" i="2" s="1"/>
  <c r="G3734" i="2"/>
  <c r="G3733" i="2"/>
  <c r="G3732" i="2"/>
  <c r="F3731" i="2"/>
  <c r="G3731" i="2" s="1"/>
  <c r="G3730" i="2"/>
  <c r="G3729" i="2"/>
  <c r="G3728" i="2"/>
  <c r="G3727" i="2"/>
  <c r="G3726" i="2"/>
  <c r="G3725" i="2"/>
  <c r="G3724" i="2"/>
  <c r="F3723" i="2"/>
  <c r="G3723" i="2" s="1"/>
  <c r="G3722" i="2"/>
  <c r="G3721" i="2"/>
  <c r="G3720" i="2"/>
  <c r="G3719" i="2"/>
  <c r="G3718" i="2"/>
  <c r="G3717" i="2"/>
  <c r="G3716" i="2"/>
  <c r="G3715" i="2"/>
  <c r="G3714" i="2"/>
  <c r="G3713" i="2"/>
  <c r="G3712" i="2"/>
  <c r="G3711" i="2"/>
  <c r="F3710" i="2"/>
  <c r="G3710" i="2" s="1"/>
  <c r="G3709" i="2"/>
  <c r="G3708" i="2"/>
  <c r="G3707" i="2"/>
  <c r="F3706" i="2"/>
  <c r="H3704" i="2"/>
  <c r="G3702" i="2"/>
  <c r="H3702" i="2" s="1"/>
  <c r="G3701" i="2"/>
  <c r="H3701" i="2" s="1"/>
  <c r="G3700" i="2"/>
  <c r="H3700" i="2" s="1"/>
  <c r="G3699" i="2"/>
  <c r="H3699" i="2" s="1"/>
  <c r="G3698" i="2"/>
  <c r="H3698" i="2" s="1"/>
  <c r="G3697" i="2"/>
  <c r="H3697" i="2" s="1"/>
  <c r="F3696" i="2"/>
  <c r="E3696" i="2"/>
  <c r="E3695" i="2" s="1"/>
  <c r="G3693" i="2"/>
  <c r="H3693" i="2" s="1"/>
  <c r="G3692" i="2"/>
  <c r="H3692" i="2" s="1"/>
  <c r="G3691" i="2"/>
  <c r="H3691" i="2" s="1"/>
  <c r="G3690" i="2"/>
  <c r="H3690" i="2" s="1"/>
  <c r="G3689" i="2"/>
  <c r="H3689" i="2" s="1"/>
  <c r="G3688" i="2"/>
  <c r="H3688" i="2" s="1"/>
  <c r="G3687" i="2"/>
  <c r="H3687" i="2" s="1"/>
  <c r="G3686" i="2"/>
  <c r="H3686" i="2" s="1"/>
  <c r="G3685" i="2"/>
  <c r="H3685" i="2" s="1"/>
  <c r="G3684" i="2"/>
  <c r="H3684" i="2" s="1"/>
  <c r="G3683" i="2"/>
  <c r="H3683" i="2" s="1"/>
  <c r="F3682" i="2"/>
  <c r="F3681" i="2" s="1"/>
  <c r="E3682" i="2"/>
  <c r="E3681" i="2" s="1"/>
  <c r="G3679" i="2"/>
  <c r="H3679" i="2" s="1"/>
  <c r="F3678" i="2"/>
  <c r="E3678" i="2"/>
  <c r="F3677" i="2"/>
  <c r="G3677" i="2" s="1"/>
  <c r="H3677" i="2" s="1"/>
  <c r="E3676" i="2"/>
  <c r="F3675" i="2"/>
  <c r="G3675" i="2" s="1"/>
  <c r="H3675" i="2" s="1"/>
  <c r="F3674" i="2"/>
  <c r="G3674" i="2" s="1"/>
  <c r="H3674" i="2" s="1"/>
  <c r="F3673" i="2"/>
  <c r="G3673" i="2" s="1"/>
  <c r="H3673" i="2" s="1"/>
  <c r="E3672" i="2"/>
  <c r="F3669" i="2"/>
  <c r="G3669" i="2" s="1"/>
  <c r="H3669" i="2" s="1"/>
  <c r="F3667" i="2"/>
  <c r="G3667" i="2" s="1"/>
  <c r="H3667" i="2" s="1"/>
  <c r="F3666" i="2"/>
  <c r="G3666" i="2" s="1"/>
  <c r="H3666" i="2" s="1"/>
  <c r="F3665" i="2"/>
  <c r="G3665" i="2" s="1"/>
  <c r="H3665" i="2" s="1"/>
  <c r="F3661" i="2"/>
  <c r="G3661" i="2" s="1"/>
  <c r="H3661" i="2" s="1"/>
  <c r="F3660" i="2"/>
  <c r="G3660" i="2" s="1"/>
  <c r="H3660" i="2" s="1"/>
  <c r="F3658" i="2"/>
  <c r="G3658" i="2" s="1"/>
  <c r="H3658" i="2" s="1"/>
  <c r="F3657" i="2"/>
  <c r="G3657" i="2" s="1"/>
  <c r="H3657" i="2" s="1"/>
  <c r="F3656" i="2"/>
  <c r="G3656" i="2" s="1"/>
  <c r="H3656" i="2" s="1"/>
  <c r="F3654" i="2"/>
  <c r="G3654" i="2" s="1"/>
  <c r="H3654" i="2" s="1"/>
  <c r="F3653" i="2"/>
  <c r="G3653" i="2" s="1"/>
  <c r="H3653" i="2" s="1"/>
  <c r="F3651" i="2"/>
  <c r="G3651" i="2" s="1"/>
  <c r="H3651" i="2" s="1"/>
  <c r="F3650" i="2"/>
  <c r="G3650" i="2" s="1"/>
  <c r="H3650" i="2" s="1"/>
  <c r="F3649" i="2"/>
  <c r="G3649" i="2" s="1"/>
  <c r="H3649" i="2" s="1"/>
  <c r="F3648" i="2"/>
  <c r="G3648" i="2" s="1"/>
  <c r="H3648" i="2" s="1"/>
  <c r="F3647" i="2"/>
  <c r="G3647" i="2" s="1"/>
  <c r="H3647" i="2" s="1"/>
  <c r="F3645" i="2"/>
  <c r="G3645" i="2" s="1"/>
  <c r="H3645" i="2" s="1"/>
  <c r="F3644" i="2"/>
  <c r="G3644" i="2" s="1"/>
  <c r="H3644" i="2" s="1"/>
  <c r="F3643" i="2"/>
  <c r="G3643" i="2" s="1"/>
  <c r="H3643" i="2" s="1"/>
  <c r="F3642" i="2"/>
  <c r="G3642" i="2" s="1"/>
  <c r="H3642" i="2" s="1"/>
  <c r="F3641" i="2"/>
  <c r="G3641" i="2" s="1"/>
  <c r="H3641" i="2" s="1"/>
  <c r="F3640" i="2"/>
  <c r="G3640" i="2" s="1"/>
  <c r="H3640" i="2" s="1"/>
  <c r="F3638" i="2"/>
  <c r="E3637" i="2"/>
  <c r="G3634" i="2"/>
  <c r="H3634" i="2" s="1"/>
  <c r="G3633" i="2"/>
  <c r="H3633" i="2" s="1"/>
  <c r="F3632" i="2"/>
  <c r="G3632" i="2" s="1"/>
  <c r="H3632" i="2" s="1"/>
  <c r="G3629" i="2"/>
  <c r="H3629" i="2" s="1"/>
  <c r="F3628" i="2"/>
  <c r="G3628" i="2" s="1"/>
  <c r="H3628" i="2" s="1"/>
  <c r="G3625" i="2"/>
  <c r="H3625" i="2" s="1"/>
  <c r="F3624" i="2"/>
  <c r="G3624" i="2" s="1"/>
  <c r="H3624" i="2" s="1"/>
  <c r="G3621" i="2"/>
  <c r="H3621" i="2" s="1"/>
  <c r="F3620" i="2"/>
  <c r="E3620" i="2"/>
  <c r="F3619" i="2"/>
  <c r="G3619" i="2" s="1"/>
  <c r="H3619" i="2" s="1"/>
  <c r="G3617" i="2"/>
  <c r="H3617" i="2" s="1"/>
  <c r="F3616" i="2"/>
  <c r="E3616" i="2"/>
  <c r="G3615" i="2"/>
  <c r="H3615" i="2" s="1"/>
  <c r="F3613" i="2"/>
  <c r="G3613" i="2" s="1"/>
  <c r="H3613" i="2" s="1"/>
  <c r="E3612" i="2"/>
  <c r="F3611" i="2"/>
  <c r="G3611" i="2" s="1"/>
  <c r="H3611" i="2" s="1"/>
  <c r="E3610" i="2"/>
  <c r="F3609" i="2"/>
  <c r="G3609" i="2" s="1"/>
  <c r="H3609" i="2" s="1"/>
  <c r="F3608" i="2"/>
  <c r="G3608" i="2" s="1"/>
  <c r="H3608" i="2" s="1"/>
  <c r="E3607" i="2"/>
  <c r="F3606" i="2"/>
  <c r="G3606" i="2" s="1"/>
  <c r="H3606" i="2" s="1"/>
  <c r="E3605" i="2"/>
  <c r="F3602" i="2"/>
  <c r="G3602" i="2" s="1"/>
  <c r="H3602" i="2" s="1"/>
  <c r="E3601" i="2"/>
  <c r="F3601" i="2" s="1"/>
  <c r="G3601" i="2" s="1"/>
  <c r="H3601" i="2" s="1"/>
  <c r="F3600" i="2"/>
  <c r="G3600" i="2" s="1"/>
  <c r="H3600" i="2" s="1"/>
  <c r="E3599" i="2"/>
  <c r="E3598" i="2"/>
  <c r="F3598" i="2" s="1"/>
  <c r="G3596" i="2"/>
  <c r="H3596" i="2" s="1"/>
  <c r="F3595" i="2"/>
  <c r="G3595" i="2" s="1"/>
  <c r="H3595" i="2" s="1"/>
  <c r="E3594" i="2"/>
  <c r="F3593" i="2"/>
  <c r="G3593" i="2" s="1"/>
  <c r="H3593" i="2" s="1"/>
  <c r="F3592" i="2"/>
  <c r="G3592" i="2" s="1"/>
  <c r="H3592" i="2" s="1"/>
  <c r="G3591" i="2"/>
  <c r="H3591" i="2" s="1"/>
  <c r="F3590" i="2"/>
  <c r="G3590" i="2" s="1"/>
  <c r="H3590" i="2" s="1"/>
  <c r="G3589" i="2"/>
  <c r="H3589" i="2" s="1"/>
  <c r="E3588" i="2"/>
  <c r="F3587" i="2"/>
  <c r="G3587" i="2" s="1"/>
  <c r="H3587" i="2" s="1"/>
  <c r="F3586" i="2"/>
  <c r="G3586" i="2" s="1"/>
  <c r="H3586" i="2" s="1"/>
  <c r="E3585" i="2"/>
  <c r="F3584" i="2"/>
  <c r="G3584" i="2" s="1"/>
  <c r="H3584" i="2" s="1"/>
  <c r="E3583" i="2"/>
  <c r="G3580" i="2"/>
  <c r="H3580" i="2" s="1"/>
  <c r="F3579" i="2"/>
  <c r="G3579" i="2" s="1"/>
  <c r="H3579" i="2" s="1"/>
  <c r="E3578" i="2"/>
  <c r="G3576" i="2"/>
  <c r="H3576" i="2" s="1"/>
  <c r="G3575" i="2"/>
  <c r="H3575" i="2" s="1"/>
  <c r="F3574" i="2"/>
  <c r="E3574" i="2"/>
  <c r="G3573" i="2"/>
  <c r="H3573" i="2" s="1"/>
  <c r="F3572" i="2"/>
  <c r="E3572" i="2"/>
  <c r="G3571" i="2"/>
  <c r="H3571" i="2" s="1"/>
  <c r="G3570" i="2"/>
  <c r="H3570" i="2" s="1"/>
  <c r="F3569" i="2"/>
  <c r="G3569" i="2" s="1"/>
  <c r="H3569" i="2" s="1"/>
  <c r="G3568" i="2"/>
  <c r="H3568" i="2" s="1"/>
  <c r="F3567" i="2"/>
  <c r="G3567" i="2" s="1"/>
  <c r="H3567" i="2" s="1"/>
  <c r="G3566" i="2"/>
  <c r="H3566" i="2" s="1"/>
  <c r="F3565" i="2"/>
  <c r="G3565" i="2" s="1"/>
  <c r="H3565" i="2" s="1"/>
  <c r="F3564" i="2"/>
  <c r="G3564" i="2" s="1"/>
  <c r="H3564" i="2" s="1"/>
  <c r="E3563" i="2"/>
  <c r="F3562" i="2"/>
  <c r="G3562" i="2" s="1"/>
  <c r="H3562" i="2" s="1"/>
  <c r="F3561" i="2"/>
  <c r="G3560" i="2"/>
  <c r="H3560" i="2" s="1"/>
  <c r="G3559" i="2"/>
  <c r="H3559" i="2" s="1"/>
  <c r="G3558" i="2"/>
  <c r="H3558" i="2" s="1"/>
  <c r="G3557" i="2"/>
  <c r="H3557" i="2" s="1"/>
  <c r="F3556" i="2"/>
  <c r="G3556" i="2" s="1"/>
  <c r="H3556" i="2" s="1"/>
  <c r="G3555" i="2"/>
  <c r="H3555" i="2" s="1"/>
  <c r="G3554" i="2"/>
  <c r="H3554" i="2" s="1"/>
  <c r="G3553" i="2"/>
  <c r="H3553" i="2" s="1"/>
  <c r="E3552" i="2"/>
  <c r="G3551" i="2"/>
  <c r="H3551" i="2" s="1"/>
  <c r="G3550" i="2"/>
  <c r="H3550" i="2" s="1"/>
  <c r="G3549" i="2"/>
  <c r="H3549" i="2" s="1"/>
  <c r="G3548" i="2"/>
  <c r="H3548" i="2" s="1"/>
  <c r="G3547" i="2"/>
  <c r="H3547" i="2" s="1"/>
  <c r="F3546" i="2"/>
  <c r="E3546" i="2"/>
  <c r="G3542" i="2"/>
  <c r="G3541" i="2"/>
  <c r="G3540" i="2"/>
  <c r="G3539" i="2"/>
  <c r="G3538" i="2"/>
  <c r="G3537" i="2"/>
  <c r="G3536" i="2"/>
  <c r="G3535" i="2"/>
  <c r="H3534" i="2"/>
  <c r="H3533" i="2" s="1"/>
  <c r="F3534" i="2"/>
  <c r="E3534" i="2"/>
  <c r="E3533" i="2" s="1"/>
  <c r="G3531" i="2"/>
  <c r="G3530" i="2"/>
  <c r="H3529" i="2"/>
  <c r="H3528" i="2" s="1"/>
  <c r="F3529" i="2"/>
  <c r="E3529" i="2"/>
  <c r="E3528" i="2" s="1"/>
  <c r="G3526" i="2"/>
  <c r="H3525" i="2"/>
  <c r="H3524" i="2" s="1"/>
  <c r="F3525" i="2"/>
  <c r="E3525" i="2"/>
  <c r="E3524" i="2" s="1"/>
  <c r="G3522" i="2"/>
  <c r="H3521" i="2"/>
  <c r="H3520" i="2" s="1"/>
  <c r="F3521" i="2"/>
  <c r="E3521" i="2"/>
  <c r="E3520" i="2" s="1"/>
  <c r="G3518" i="2"/>
  <c r="G3517" i="2"/>
  <c r="G3516" i="2"/>
  <c r="G3515" i="2"/>
  <c r="H3514" i="2"/>
  <c r="H3513" i="2" s="1"/>
  <c r="F3514" i="2"/>
  <c r="E3514" i="2"/>
  <c r="E3513" i="2" s="1"/>
  <c r="G3511" i="2"/>
  <c r="G3510" i="2"/>
  <c r="G3509" i="2"/>
  <c r="G3508" i="2"/>
  <c r="G3507" i="2"/>
  <c r="H3506" i="2"/>
  <c r="F3506" i="2"/>
  <c r="E3506" i="2"/>
  <c r="G3505" i="2"/>
  <c r="G3504" i="2"/>
  <c r="G3503" i="2"/>
  <c r="H3502" i="2"/>
  <c r="F3502" i="2"/>
  <c r="E3502" i="2"/>
  <c r="G3501" i="2"/>
  <c r="H3500" i="2"/>
  <c r="F3500" i="2"/>
  <c r="E3500" i="2"/>
  <c r="G3499" i="2"/>
  <c r="H3498" i="2"/>
  <c r="F3498" i="2"/>
  <c r="E3498" i="2"/>
  <c r="G3497" i="2"/>
  <c r="G3496" i="2"/>
  <c r="H3495" i="2"/>
  <c r="F3495" i="2"/>
  <c r="E3495" i="2"/>
  <c r="G3494" i="2"/>
  <c r="G3493" i="2"/>
  <c r="H3492" i="2"/>
  <c r="F3492" i="2"/>
  <c r="E3492" i="2"/>
  <c r="G3489" i="2"/>
  <c r="H3488" i="2"/>
  <c r="F3488" i="2"/>
  <c r="E3488" i="2"/>
  <c r="G3487" i="2"/>
  <c r="G3486" i="2"/>
  <c r="G3485" i="2"/>
  <c r="H3484" i="2"/>
  <c r="F3484" i="2"/>
  <c r="E3484" i="2"/>
  <c r="G3483" i="2"/>
  <c r="H3482" i="2"/>
  <c r="F3482" i="2"/>
  <c r="E3482" i="2"/>
  <c r="G3479" i="2"/>
  <c r="G3478" i="2"/>
  <c r="G3477" i="2"/>
  <c r="H3476" i="2"/>
  <c r="F3476" i="2"/>
  <c r="E3476" i="2"/>
  <c r="G3475" i="2"/>
  <c r="H3474" i="2"/>
  <c r="F3474" i="2"/>
  <c r="E3474" i="2"/>
  <c r="G3471" i="2"/>
  <c r="G3470" i="2"/>
  <c r="H3469" i="2"/>
  <c r="H3468" i="2" s="1"/>
  <c r="F3469" i="2"/>
  <c r="F3468" i="2" s="1"/>
  <c r="E3469" i="2"/>
  <c r="E3468" i="2" s="1"/>
  <c r="G3466" i="2"/>
  <c r="H3465" i="2"/>
  <c r="H3464" i="2" s="1"/>
  <c r="F3465" i="2"/>
  <c r="F3464" i="2" s="1"/>
  <c r="E3465" i="2"/>
  <c r="E3464" i="2" s="1"/>
  <c r="G3462" i="2"/>
  <c r="H3461" i="2"/>
  <c r="H3460" i="2" s="1"/>
  <c r="F3461" i="2"/>
  <c r="E3461" i="2"/>
  <c r="E3460" i="2" s="1"/>
  <c r="G3458" i="2"/>
  <c r="G3457" i="2"/>
  <c r="H3456" i="2"/>
  <c r="H3455" i="2" s="1"/>
  <c r="F3456" i="2"/>
  <c r="F3455" i="2" s="1"/>
  <c r="E3456" i="2"/>
  <c r="E3455" i="2" s="1"/>
  <c r="G3453" i="2"/>
  <c r="H3452" i="2"/>
  <c r="F3452" i="2"/>
  <c r="E3452" i="2"/>
  <c r="G3451" i="2"/>
  <c r="H3450" i="2"/>
  <c r="F3450" i="2"/>
  <c r="E3450" i="2"/>
  <c r="E3449" i="2" s="1"/>
  <c r="G3447" i="2"/>
  <c r="H3446" i="2"/>
  <c r="H3445" i="2" s="1"/>
  <c r="F3446" i="2"/>
  <c r="E3446" i="2"/>
  <c r="E3445" i="2" s="1"/>
  <c r="G3443" i="2"/>
  <c r="H3442" i="2"/>
  <c r="F3442" i="2"/>
  <c r="E3442" i="2"/>
  <c r="F3441" i="2"/>
  <c r="G3441" i="2" s="1"/>
  <c r="H3440" i="2"/>
  <c r="E3440" i="2"/>
  <c r="F3439" i="2"/>
  <c r="G3438" i="2"/>
  <c r="H3437" i="2"/>
  <c r="E3437" i="2"/>
  <c r="G3436" i="2"/>
  <c r="H3435" i="2"/>
  <c r="F3435" i="2"/>
  <c r="E3435" i="2"/>
  <c r="G3432" i="2"/>
  <c r="G3431" i="2"/>
  <c r="H3430" i="2"/>
  <c r="F3430" i="2"/>
  <c r="E3430" i="2"/>
  <c r="G3429" i="2"/>
  <c r="G3428" i="2"/>
  <c r="H3427" i="2"/>
  <c r="F3427" i="2"/>
  <c r="E3427" i="2"/>
  <c r="G3426" i="2"/>
  <c r="G3425" i="2"/>
  <c r="G3424" i="2"/>
  <c r="G3423" i="2"/>
  <c r="G3422" i="2"/>
  <c r="H3421" i="2"/>
  <c r="F3421" i="2"/>
  <c r="E3421" i="2"/>
  <c r="G3420" i="2"/>
  <c r="G3419" i="2"/>
  <c r="G3418" i="2"/>
  <c r="H3417" i="2"/>
  <c r="F3417" i="2"/>
  <c r="E3417" i="2"/>
  <c r="G3413" i="2"/>
  <c r="H3413" i="2" s="1"/>
  <c r="F3412" i="2"/>
  <c r="G3412" i="2" s="1"/>
  <c r="H3412" i="2" s="1"/>
  <c r="G3409" i="2"/>
  <c r="H3409" i="2" s="1"/>
  <c r="G3408" i="2"/>
  <c r="H3408" i="2" s="1"/>
  <c r="F3407" i="2"/>
  <c r="G3407" i="2" s="1"/>
  <c r="H3407" i="2" s="1"/>
  <c r="G3405" i="2"/>
  <c r="H3405" i="2" s="1"/>
  <c r="G3403" i="2"/>
  <c r="H3403" i="2" s="1"/>
  <c r="F3402" i="2"/>
  <c r="G3402" i="2" s="1"/>
  <c r="H3402" i="2" s="1"/>
  <c r="G3399" i="2"/>
  <c r="H3399" i="2" s="1"/>
  <c r="F3398" i="2"/>
  <c r="G3398" i="2" s="1"/>
  <c r="H3398" i="2" s="1"/>
  <c r="G3395" i="2"/>
  <c r="H3395" i="2" s="1"/>
  <c r="G3394" i="2"/>
  <c r="H3394" i="2" s="1"/>
  <c r="G3393" i="2"/>
  <c r="H3393" i="2" s="1"/>
  <c r="G3392" i="2"/>
  <c r="H3392" i="2" s="1"/>
  <c r="G3391" i="2"/>
  <c r="H3391" i="2" s="1"/>
  <c r="G3390" i="2"/>
  <c r="H3390" i="2" s="1"/>
  <c r="F3389" i="2"/>
  <c r="G3389" i="2" s="1"/>
  <c r="H3389" i="2" s="1"/>
  <c r="G3388" i="2"/>
  <c r="H3388" i="2" s="1"/>
  <c r="F3387" i="2"/>
  <c r="G3387" i="2" s="1"/>
  <c r="H3387" i="2" s="1"/>
  <c r="G3386" i="2"/>
  <c r="H3386" i="2" s="1"/>
  <c r="G3385" i="2"/>
  <c r="H3385" i="2" s="1"/>
  <c r="F3384" i="2"/>
  <c r="G3384" i="2" s="1"/>
  <c r="H3384" i="2" s="1"/>
  <c r="G3383" i="2"/>
  <c r="H3383" i="2" s="1"/>
  <c r="F3382" i="2"/>
  <c r="G3382" i="2" s="1"/>
  <c r="H3382" i="2" s="1"/>
  <c r="G3381" i="2"/>
  <c r="H3381" i="2" s="1"/>
  <c r="G3380" i="2"/>
  <c r="H3380" i="2" s="1"/>
  <c r="F3379" i="2"/>
  <c r="G3379" i="2" s="1"/>
  <c r="H3379" i="2" s="1"/>
  <c r="G3378" i="2"/>
  <c r="H3378" i="2" s="1"/>
  <c r="F3377" i="2"/>
  <c r="G3377" i="2" s="1"/>
  <c r="H3377" i="2" s="1"/>
  <c r="H3375" i="2"/>
  <c r="G3373" i="2"/>
  <c r="H3373" i="2" s="1"/>
  <c r="F3372" i="2"/>
  <c r="G3372" i="2" s="1"/>
  <c r="H3372" i="2" s="1"/>
  <c r="G3371" i="2"/>
  <c r="H3371" i="2" s="1"/>
  <c r="F3370" i="2"/>
  <c r="G3370" i="2" s="1"/>
  <c r="H3370" i="2" s="1"/>
  <c r="G3369" i="2"/>
  <c r="H3369" i="2" s="1"/>
  <c r="F3368" i="2"/>
  <c r="G3368" i="2" s="1"/>
  <c r="H3368" i="2" s="1"/>
  <c r="H3366" i="2"/>
  <c r="G3364" i="2"/>
  <c r="H3364" i="2" s="1"/>
  <c r="G3363" i="2"/>
  <c r="H3363" i="2" s="1"/>
  <c r="G3362" i="2"/>
  <c r="H3362" i="2" s="1"/>
  <c r="F3361" i="2"/>
  <c r="G3361" i="2" s="1"/>
  <c r="H3361" i="2" s="1"/>
  <c r="G3360" i="2"/>
  <c r="H3360" i="2" s="1"/>
  <c r="G3359" i="2"/>
  <c r="H3359" i="2" s="1"/>
  <c r="F3358" i="2"/>
  <c r="G3358" i="2" s="1"/>
  <c r="H3358" i="2" s="1"/>
  <c r="G3357" i="2"/>
  <c r="H3357" i="2" s="1"/>
  <c r="F3356" i="2"/>
  <c r="G3356" i="2" s="1"/>
  <c r="H3356" i="2" s="1"/>
  <c r="G3353" i="2"/>
  <c r="H3353" i="2" s="1"/>
  <c r="G3352" i="2"/>
  <c r="H3352" i="2" s="1"/>
  <c r="G3351" i="2"/>
  <c r="H3351" i="2" s="1"/>
  <c r="F3350" i="2"/>
  <c r="G3350" i="2" s="1"/>
  <c r="H3350" i="2" s="1"/>
  <c r="G3349" i="2"/>
  <c r="H3349" i="2" s="1"/>
  <c r="G3348" i="2"/>
  <c r="H3348" i="2" s="1"/>
  <c r="F3347" i="2"/>
  <c r="G3347" i="2" s="1"/>
  <c r="H3347" i="2" s="1"/>
  <c r="G3346" i="2"/>
  <c r="H3346" i="2" s="1"/>
  <c r="F3345" i="2"/>
  <c r="G3345" i="2" s="1"/>
  <c r="H3345" i="2" s="1"/>
  <c r="G3344" i="2"/>
  <c r="H3344" i="2" s="1"/>
  <c r="G3343" i="2"/>
  <c r="H3343" i="2" s="1"/>
  <c r="G3342" i="2"/>
  <c r="H3342" i="2" s="1"/>
  <c r="F3341" i="2"/>
  <c r="G3341" i="2" s="1"/>
  <c r="H3341" i="2" s="1"/>
  <c r="G3340" i="2"/>
  <c r="H3340" i="2" s="1"/>
  <c r="F3339" i="2"/>
  <c r="G3339" i="2" s="1"/>
  <c r="H3339" i="2" s="1"/>
  <c r="G3337" i="2"/>
  <c r="H3337" i="2" s="1"/>
  <c r="G3335" i="2"/>
  <c r="H3335" i="2" s="1"/>
  <c r="F3334" i="2"/>
  <c r="G3334" i="2" s="1"/>
  <c r="H3334" i="2" s="1"/>
  <c r="G3333" i="2"/>
  <c r="H3333" i="2" s="1"/>
  <c r="G3332" i="2"/>
  <c r="H3332" i="2" s="1"/>
  <c r="G3331" i="2"/>
  <c r="H3331" i="2" s="1"/>
  <c r="G3330" i="2"/>
  <c r="H3330" i="2" s="1"/>
  <c r="F3329" i="2"/>
  <c r="G3329" i="2" s="1"/>
  <c r="H3329" i="2" s="1"/>
  <c r="G3328" i="2"/>
  <c r="H3328" i="2" s="1"/>
  <c r="G3327" i="2"/>
  <c r="H3327" i="2" s="1"/>
  <c r="F3326" i="2"/>
  <c r="G3326" i="2" s="1"/>
  <c r="H3326" i="2" s="1"/>
  <c r="G3323" i="2"/>
  <c r="H3323" i="2" s="1"/>
  <c r="G3322" i="2"/>
  <c r="H3322" i="2" s="1"/>
  <c r="G3321" i="2"/>
  <c r="H3321" i="2" s="1"/>
  <c r="G3320" i="2"/>
  <c r="H3320" i="2" s="1"/>
  <c r="F3319" i="2"/>
  <c r="G3319" i="2" s="1"/>
  <c r="H3319" i="2" s="1"/>
  <c r="G3316" i="2"/>
  <c r="H3316" i="2" s="1"/>
  <c r="F3315" i="2"/>
  <c r="G3315" i="2" s="1"/>
  <c r="H3315" i="2" s="1"/>
  <c r="G3314" i="2"/>
  <c r="H3314" i="2" s="1"/>
  <c r="G3313" i="2"/>
  <c r="H3313" i="2" s="1"/>
  <c r="F3312" i="2"/>
  <c r="G3312" i="2" s="1"/>
  <c r="H3312" i="2" s="1"/>
  <c r="G3311" i="2"/>
  <c r="H3311" i="2" s="1"/>
  <c r="G3310" i="2"/>
  <c r="H3310" i="2" s="1"/>
  <c r="F3309" i="2"/>
  <c r="G3309" i="2" s="1"/>
  <c r="H3309" i="2" s="1"/>
  <c r="G3308" i="2"/>
  <c r="H3308" i="2" s="1"/>
  <c r="G3307" i="2"/>
  <c r="H3307" i="2" s="1"/>
  <c r="F3306" i="2"/>
  <c r="G3306" i="2" s="1"/>
  <c r="H3306" i="2" s="1"/>
  <c r="G3305" i="2"/>
  <c r="H3305" i="2" s="1"/>
  <c r="F3304" i="2"/>
  <c r="G3304" i="2" s="1"/>
  <c r="H3304" i="2" s="1"/>
  <c r="G3302" i="2"/>
  <c r="H3302" i="2" s="1"/>
  <c r="G3300" i="2"/>
  <c r="H3300" i="2" s="1"/>
  <c r="F3299" i="2"/>
  <c r="G3299" i="2" s="1"/>
  <c r="H3299" i="2" s="1"/>
  <c r="G3296" i="2"/>
  <c r="H3296" i="2" s="1"/>
  <c r="G3295" i="2"/>
  <c r="H3295" i="2" s="1"/>
  <c r="G3294" i="2"/>
  <c r="H3294" i="2" s="1"/>
  <c r="G3293" i="2"/>
  <c r="H3293" i="2" s="1"/>
  <c r="G3292" i="2"/>
  <c r="H3292" i="2" s="1"/>
  <c r="G3291" i="2"/>
  <c r="H3291" i="2" s="1"/>
  <c r="G3290" i="2"/>
  <c r="H3290" i="2" s="1"/>
  <c r="G3289" i="2"/>
  <c r="H3289" i="2" s="1"/>
  <c r="G3288" i="2"/>
  <c r="H3288" i="2" s="1"/>
  <c r="F3287" i="2"/>
  <c r="G3287" i="2" s="1"/>
  <c r="H3287" i="2" s="1"/>
  <c r="G3286" i="2"/>
  <c r="H3286" i="2" s="1"/>
  <c r="G3285" i="2"/>
  <c r="H3285" i="2" s="1"/>
  <c r="F3284" i="2"/>
  <c r="G3284" i="2" s="1"/>
  <c r="H3284" i="2" s="1"/>
  <c r="G3283" i="2"/>
  <c r="H3283" i="2" s="1"/>
  <c r="G3282" i="2"/>
  <c r="H3282" i="2" s="1"/>
  <c r="G3281" i="2"/>
  <c r="H3281" i="2" s="1"/>
  <c r="G3280" i="2"/>
  <c r="H3280" i="2" s="1"/>
  <c r="G3279" i="2"/>
  <c r="H3279" i="2" s="1"/>
  <c r="G3278" i="2"/>
  <c r="H3278" i="2" s="1"/>
  <c r="G3277" i="2"/>
  <c r="H3277" i="2" s="1"/>
  <c r="F3276" i="2"/>
  <c r="G3276" i="2" s="1"/>
  <c r="H3276" i="2" s="1"/>
  <c r="G3275" i="2"/>
  <c r="H3275" i="2" s="1"/>
  <c r="G3274" i="2"/>
  <c r="H3274" i="2" s="1"/>
  <c r="G3273" i="2"/>
  <c r="H3273" i="2" s="1"/>
  <c r="G3272" i="2"/>
  <c r="H3272" i="2" s="1"/>
  <c r="G3271" i="2"/>
  <c r="H3271" i="2" s="1"/>
  <c r="F3270" i="2"/>
  <c r="G3270" i="2" s="1"/>
  <c r="H3270" i="2" s="1"/>
  <c r="G3265" i="2"/>
  <c r="G3264" i="2"/>
  <c r="H3263" i="2"/>
  <c r="H3262" i="2" s="1"/>
  <c r="F3263" i="2"/>
  <c r="F3262" i="2" s="1"/>
  <c r="G3262" i="2" s="1"/>
  <c r="E3263" i="2"/>
  <c r="G3260" i="2"/>
  <c r="G3259" i="2"/>
  <c r="G3258" i="2"/>
  <c r="G3257" i="2"/>
  <c r="G3256" i="2"/>
  <c r="G3255" i="2"/>
  <c r="G3254" i="2"/>
  <c r="G3253" i="2"/>
  <c r="H3252" i="2"/>
  <c r="F3252" i="2"/>
  <c r="G3252" i="2" s="1"/>
  <c r="G3251" i="2"/>
  <c r="H3250" i="2"/>
  <c r="F3250" i="2"/>
  <c r="E3250" i="2"/>
  <c r="E3246" i="2" s="1"/>
  <c r="G3249" i="2"/>
  <c r="G3248" i="2"/>
  <c r="H3247" i="2"/>
  <c r="F3247" i="2"/>
  <c r="G3247" i="2" s="1"/>
  <c r="G3244" i="2"/>
  <c r="G3243" i="2"/>
  <c r="G3242" i="2"/>
  <c r="G3241" i="2"/>
  <c r="H3240" i="2"/>
  <c r="F3240" i="2"/>
  <c r="G3240" i="2" s="1"/>
  <c r="G3239" i="2"/>
  <c r="G3238" i="2"/>
  <c r="G3237" i="2"/>
  <c r="G3236" i="2"/>
  <c r="H3235" i="2"/>
  <c r="F3235" i="2"/>
  <c r="G3235" i="2" s="1"/>
  <c r="G3234" i="2"/>
  <c r="G3233" i="2"/>
  <c r="G3232" i="2"/>
  <c r="H3231" i="2"/>
  <c r="F3231" i="2"/>
  <c r="G3231" i="2" s="1"/>
  <c r="G3230" i="2"/>
  <c r="G3229" i="2"/>
  <c r="H3228" i="2"/>
  <c r="F3228" i="2"/>
  <c r="G3228" i="2" s="1"/>
  <c r="E3227" i="2"/>
  <c r="G3225" i="2"/>
  <c r="G3224" i="2"/>
  <c r="H3223" i="2"/>
  <c r="H3222" i="2" s="1"/>
  <c r="F3223" i="2"/>
  <c r="G3223" i="2" s="1"/>
  <c r="G3220" i="2"/>
  <c r="H3219" i="2"/>
  <c r="F3219" i="2"/>
  <c r="G3219" i="2" s="1"/>
  <c r="G3218" i="2"/>
  <c r="H3217" i="2"/>
  <c r="F3217" i="2"/>
  <c r="G3217" i="2" s="1"/>
  <c r="G3216" i="2"/>
  <c r="H3215" i="2"/>
  <c r="F3215" i="2"/>
  <c r="G3215" i="2" s="1"/>
  <c r="G3214" i="2"/>
  <c r="G3213" i="2"/>
  <c r="G3212" i="2"/>
  <c r="G3211" i="2"/>
  <c r="H3210" i="2"/>
  <c r="F3210" i="2"/>
  <c r="G3210" i="2" s="1"/>
  <c r="G3209" i="2"/>
  <c r="G3208" i="2"/>
  <c r="G3207" i="2"/>
  <c r="G3206" i="2"/>
  <c r="H3205" i="2"/>
  <c r="F3205" i="2"/>
  <c r="G3205" i="2" s="1"/>
  <c r="G3204" i="2"/>
  <c r="G3203" i="2"/>
  <c r="G3202" i="2"/>
  <c r="G3201" i="2"/>
  <c r="G3200" i="2"/>
  <c r="H3199" i="2"/>
  <c r="F3199" i="2"/>
  <c r="E3198" i="2"/>
  <c r="G3196" i="2"/>
  <c r="H3195" i="2"/>
  <c r="H3194" i="2" s="1"/>
  <c r="F3195" i="2"/>
  <c r="G3195" i="2" s="1"/>
  <c r="G3192" i="2"/>
  <c r="G3191" i="2"/>
  <c r="G3190" i="2"/>
  <c r="G3189" i="2"/>
  <c r="G3188" i="2"/>
  <c r="H3187" i="2"/>
  <c r="H3186" i="2" s="1"/>
  <c r="F3187" i="2"/>
  <c r="G3187" i="2" s="1"/>
  <c r="G3184" i="2"/>
  <c r="G3183" i="2"/>
  <c r="H3182" i="2"/>
  <c r="F3182" i="2"/>
  <c r="G3182" i="2" s="1"/>
  <c r="G3181" i="2"/>
  <c r="G3180" i="2"/>
  <c r="H3179" i="2"/>
  <c r="H3178" i="2" s="1"/>
  <c r="F3179" i="2"/>
  <c r="G3179" i="2" s="1"/>
  <c r="G3176" i="2"/>
  <c r="G3175" i="2"/>
  <c r="G3174" i="2"/>
  <c r="G3173" i="2"/>
  <c r="G3172" i="2"/>
  <c r="G3171" i="2"/>
  <c r="G3170" i="2"/>
  <c r="H3169" i="2"/>
  <c r="F3169" i="2"/>
  <c r="E3169" i="2"/>
  <c r="G3168" i="2"/>
  <c r="H3167" i="2"/>
  <c r="H3166" i="2" s="1"/>
  <c r="F3167" i="2"/>
  <c r="G3167" i="2" s="1"/>
  <c r="G3164" i="2"/>
  <c r="H3163" i="2"/>
  <c r="H3162" i="2" s="1"/>
  <c r="F3163" i="2"/>
  <c r="G3163" i="2" s="1"/>
  <c r="G3160" i="2"/>
  <c r="G3159" i="2"/>
  <c r="G3158" i="2"/>
  <c r="G3157" i="2"/>
  <c r="G3156" i="2"/>
  <c r="G3155" i="2"/>
  <c r="G3154" i="2"/>
  <c r="G3153" i="2"/>
  <c r="G3152" i="2"/>
  <c r="G3151" i="2"/>
  <c r="G3150" i="2"/>
  <c r="G3149" i="2"/>
  <c r="H3148" i="2"/>
  <c r="H3147" i="2" s="1"/>
  <c r="F3148" i="2"/>
  <c r="G3148" i="2" s="1"/>
  <c r="G3145" i="2"/>
  <c r="G3144" i="2"/>
  <c r="G3143" i="2"/>
  <c r="G3142" i="2"/>
  <c r="H3141" i="2"/>
  <c r="F3141" i="2"/>
  <c r="E3141" i="2"/>
  <c r="G3140" i="2"/>
  <c r="G3139" i="2"/>
  <c r="G3138" i="2"/>
  <c r="H3137" i="2"/>
  <c r="F3137" i="2"/>
  <c r="E3137" i="2"/>
  <c r="G3134" i="2"/>
  <c r="G3133" i="2"/>
  <c r="G3132" i="2"/>
  <c r="G3131" i="2"/>
  <c r="G3130" i="2"/>
  <c r="G3129" i="2"/>
  <c r="H3128" i="2"/>
  <c r="F3128" i="2"/>
  <c r="E3128" i="2"/>
  <c r="G3127" i="2"/>
  <c r="H3126" i="2"/>
  <c r="F3126" i="2"/>
  <c r="E3126" i="2"/>
  <c r="G3125" i="2"/>
  <c r="G3124" i="2"/>
  <c r="H3123" i="2"/>
  <c r="F3123" i="2"/>
  <c r="E3123" i="2"/>
  <c r="G3122" i="2"/>
  <c r="H3121" i="2"/>
  <c r="F3121" i="2"/>
  <c r="E3121" i="2"/>
  <c r="G3120" i="2"/>
  <c r="G3119" i="2"/>
  <c r="G3118" i="2"/>
  <c r="H3117" i="2"/>
  <c r="F3117" i="2"/>
  <c r="E3117" i="2"/>
  <c r="G3116" i="2"/>
  <c r="G3115" i="2"/>
  <c r="G3114" i="2"/>
  <c r="H3113" i="2"/>
  <c r="F3113" i="2"/>
  <c r="E3113" i="2"/>
  <c r="G3110" i="2"/>
  <c r="G3109" i="2"/>
  <c r="G3108" i="2"/>
  <c r="G3107" i="2"/>
  <c r="H3106" i="2"/>
  <c r="F3106" i="2"/>
  <c r="G3106" i="2" s="1"/>
  <c r="G3104" i="2"/>
  <c r="G3103" i="2"/>
  <c r="G3102" i="2"/>
  <c r="G3101" i="2"/>
  <c r="G3100" i="2"/>
  <c r="G3099" i="2"/>
  <c r="H3098" i="2"/>
  <c r="F3098" i="2"/>
  <c r="G3098" i="2" s="1"/>
  <c r="G3096" i="2"/>
  <c r="G3095" i="2"/>
  <c r="G3094" i="2"/>
  <c r="H3093" i="2"/>
  <c r="F3093" i="2"/>
  <c r="G3093" i="2" s="1"/>
  <c r="G3091" i="2"/>
  <c r="G3090" i="2"/>
  <c r="G3089" i="2"/>
  <c r="G3088" i="2"/>
  <c r="G3087" i="2"/>
  <c r="G3086" i="2"/>
  <c r="G3085" i="2"/>
  <c r="G3084" i="2"/>
  <c r="G3083" i="2"/>
  <c r="H3082" i="2"/>
  <c r="F3082" i="2"/>
  <c r="G3082" i="2" s="1"/>
  <c r="G3080" i="2"/>
  <c r="G3079" i="2"/>
  <c r="G3078" i="2"/>
  <c r="G3077" i="2"/>
  <c r="G3076" i="2"/>
  <c r="G3075" i="2"/>
  <c r="G3074" i="2"/>
  <c r="H3073" i="2"/>
  <c r="F3073" i="2"/>
  <c r="G3073" i="2" s="1"/>
  <c r="G3071" i="2"/>
  <c r="G3070" i="2"/>
  <c r="G3069" i="2"/>
  <c r="G3068" i="2"/>
  <c r="G3067" i="2"/>
  <c r="G3066" i="2"/>
  <c r="G3065" i="2"/>
  <c r="G3064" i="2"/>
  <c r="G3063" i="2"/>
  <c r="G3062" i="2"/>
  <c r="G3061" i="2"/>
  <c r="G3060" i="2"/>
  <c r="G3059" i="2"/>
  <c r="G3058" i="2"/>
  <c r="G3057" i="2"/>
  <c r="G3056" i="2"/>
  <c r="G3055" i="2"/>
  <c r="G3054" i="2"/>
  <c r="G3053" i="2"/>
  <c r="G3052" i="2"/>
  <c r="G3051" i="2"/>
  <c r="G3050" i="2"/>
  <c r="G3049" i="2"/>
  <c r="G3048" i="2"/>
  <c r="G3047" i="2"/>
  <c r="H3046" i="2"/>
  <c r="F3046" i="2"/>
  <c r="G3046" i="2" s="1"/>
  <c r="G3045" i="2"/>
  <c r="G3044" i="2"/>
  <c r="G3043" i="2"/>
  <c r="H3042" i="2"/>
  <c r="H3041" i="2" s="1"/>
  <c r="F3042" i="2"/>
  <c r="G3042" i="2" s="1"/>
  <c r="E3041" i="2"/>
  <c r="G3038" i="2"/>
  <c r="E3037" i="2"/>
  <c r="G3037" i="2" s="1"/>
  <c r="G3036" i="2"/>
  <c r="E3035" i="2"/>
  <c r="G3035" i="2" s="1"/>
  <c r="G3034" i="2"/>
  <c r="F3033" i="2"/>
  <c r="F3032" i="2" s="1"/>
  <c r="E3033" i="2"/>
  <c r="H3032" i="2"/>
  <c r="G3030" i="2"/>
  <c r="G3029" i="2"/>
  <c r="F3028" i="2"/>
  <c r="E3028" i="2"/>
  <c r="G3027" i="2"/>
  <c r="G3026" i="2"/>
  <c r="F3025" i="2"/>
  <c r="E3025" i="2"/>
  <c r="G3024" i="2"/>
  <c r="H3023" i="2"/>
  <c r="H3022" i="2" s="1"/>
  <c r="F3023" i="2"/>
  <c r="E3023" i="2"/>
  <c r="G3020" i="2"/>
  <c r="H3019" i="2"/>
  <c r="H3018" i="2" s="1"/>
  <c r="F3019" i="2"/>
  <c r="F3018" i="2" s="1"/>
  <c r="E3019" i="2"/>
  <c r="E3018" i="2" s="1"/>
  <c r="G3016" i="2"/>
  <c r="G3015" i="2"/>
  <c r="G3014" i="2"/>
  <c r="H3013" i="2"/>
  <c r="F3013" i="2"/>
  <c r="E3013" i="2"/>
  <c r="G3012" i="2"/>
  <c r="H3011" i="2"/>
  <c r="F3011" i="2"/>
  <c r="E3011" i="2"/>
  <c r="G3010" i="2"/>
  <c r="G3009" i="2"/>
  <c r="G3008" i="2"/>
  <c r="F3007" i="2"/>
  <c r="E3007" i="2"/>
  <c r="G3006" i="2"/>
  <c r="G3005" i="2"/>
  <c r="G3004" i="2"/>
  <c r="G3003" i="2"/>
  <c r="G3002" i="2"/>
  <c r="H3001" i="2"/>
  <c r="F3001" i="2"/>
  <c r="E3001" i="2"/>
  <c r="G3000" i="2"/>
  <c r="F2999" i="2"/>
  <c r="E2999" i="2"/>
  <c r="G2998" i="2"/>
  <c r="G2997" i="2"/>
  <c r="G2996" i="2"/>
  <c r="G2995" i="2"/>
  <c r="G2994" i="2"/>
  <c r="G2993" i="2"/>
  <c r="G2992" i="2"/>
  <c r="G2991" i="2"/>
  <c r="G2990" i="2"/>
  <c r="H2989" i="2"/>
  <c r="F2989" i="2"/>
  <c r="E2989" i="2"/>
  <c r="G2988" i="2"/>
  <c r="G2987" i="2"/>
  <c r="G2986" i="2"/>
  <c r="G2985" i="2"/>
  <c r="G2984" i="2"/>
  <c r="G2983" i="2"/>
  <c r="G2982" i="2"/>
  <c r="H2981" i="2"/>
  <c r="F2981" i="2"/>
  <c r="E2981" i="2"/>
  <c r="G2978" i="2"/>
  <c r="F2977" i="2"/>
  <c r="F2976" i="2" s="1"/>
  <c r="E2977" i="2"/>
  <c r="E2976" i="2" s="1"/>
  <c r="H2976" i="2"/>
  <c r="G2974" i="2"/>
  <c r="F2973" i="2"/>
  <c r="G2973" i="2" s="1"/>
  <c r="H2972" i="2"/>
  <c r="E2972" i="2"/>
  <c r="G2970" i="2"/>
  <c r="H2969" i="2"/>
  <c r="H2968" i="2" s="1"/>
  <c r="F2969" i="2"/>
  <c r="F2968" i="2" s="1"/>
  <c r="E2969" i="2"/>
  <c r="G2966" i="2"/>
  <c r="G2965" i="2"/>
  <c r="G2964" i="2"/>
  <c r="G2963" i="2"/>
  <c r="H2962" i="2"/>
  <c r="F2962" i="2"/>
  <c r="E2962" i="2"/>
  <c r="G2961" i="2"/>
  <c r="G2960" i="2"/>
  <c r="G2959" i="2"/>
  <c r="G2958" i="2"/>
  <c r="G2957" i="2"/>
  <c r="H2956" i="2"/>
  <c r="H2953" i="2" s="1"/>
  <c r="F2956" i="2"/>
  <c r="E2956" i="2"/>
  <c r="G2955" i="2"/>
  <c r="F2954" i="2"/>
  <c r="E2954" i="2"/>
  <c r="G2951" i="2"/>
  <c r="G2950" i="2"/>
  <c r="E2949" i="2"/>
  <c r="G2949" i="2" s="1"/>
  <c r="G2947" i="2"/>
  <c r="H2946" i="2"/>
  <c r="H2945" i="2" s="1"/>
  <c r="F2946" i="2"/>
  <c r="E2946" i="2"/>
  <c r="E2945" i="2" s="1"/>
  <c r="G2943" i="2"/>
  <c r="H2942" i="2"/>
  <c r="H2941" i="2" s="1"/>
  <c r="F2942" i="2"/>
  <c r="F2941" i="2" s="1"/>
  <c r="E2942" i="2"/>
  <c r="E2941" i="2" s="1"/>
  <c r="G2939" i="2"/>
  <c r="H2938" i="2"/>
  <c r="H2935" i="2" s="1"/>
  <c r="F2938" i="2"/>
  <c r="E2938" i="2"/>
  <c r="G2937" i="2"/>
  <c r="F2936" i="2"/>
  <c r="E2936" i="2"/>
  <c r="F2933" i="2"/>
  <c r="F2932" i="2" s="1"/>
  <c r="E2932" i="2"/>
  <c r="G2931" i="2"/>
  <c r="F2930" i="2"/>
  <c r="E2930" i="2"/>
  <c r="H2929" i="2"/>
  <c r="G2927" i="2"/>
  <c r="H2926" i="2"/>
  <c r="F2926" i="2"/>
  <c r="E2926" i="2"/>
  <c r="G2925" i="2"/>
  <c r="H2924" i="2"/>
  <c r="F2924" i="2"/>
  <c r="E2924" i="2"/>
  <c r="G2923" i="2"/>
  <c r="H2922" i="2"/>
  <c r="E2922" i="2"/>
  <c r="G2922" i="2" s="1"/>
  <c r="G2921" i="2"/>
  <c r="H2920" i="2"/>
  <c r="F2920" i="2"/>
  <c r="E2920" i="2"/>
  <c r="G2917" i="2"/>
  <c r="F2916" i="2"/>
  <c r="E2916" i="2"/>
  <c r="G2915" i="2"/>
  <c r="G2914" i="2"/>
  <c r="F2913" i="2"/>
  <c r="E2913" i="2"/>
  <c r="G2912" i="2"/>
  <c r="G2911" i="2"/>
  <c r="G2910" i="2"/>
  <c r="G2909" i="2"/>
  <c r="G2908" i="2"/>
  <c r="G2907" i="2"/>
  <c r="G2906" i="2"/>
  <c r="H2905" i="2"/>
  <c r="F2905" i="2"/>
  <c r="E2905" i="2"/>
  <c r="G2904" i="2"/>
  <c r="G2903" i="2"/>
  <c r="G2902" i="2"/>
  <c r="G2901" i="2"/>
  <c r="G2900" i="2"/>
  <c r="G2899" i="2"/>
  <c r="H2898" i="2"/>
  <c r="F2898" i="2"/>
  <c r="E2898" i="2"/>
  <c r="G2897" i="2"/>
  <c r="F2896" i="2"/>
  <c r="E2896" i="2"/>
  <c r="G2892" i="2"/>
  <c r="F2891" i="2"/>
  <c r="E2891" i="2"/>
  <c r="G2890" i="2"/>
  <c r="F2889" i="2"/>
  <c r="E2889" i="2"/>
  <c r="G2886" i="2"/>
  <c r="H2885" i="2"/>
  <c r="H2884" i="2" s="1"/>
  <c r="F2885" i="2"/>
  <c r="F2884" i="2" s="1"/>
  <c r="E2885" i="2"/>
  <c r="E2884" i="2" s="1"/>
  <c r="G2882" i="2"/>
  <c r="H2881" i="2"/>
  <c r="F2881" i="2"/>
  <c r="E2881" i="2"/>
  <c r="G2880" i="2"/>
  <c r="H2879" i="2"/>
  <c r="F2879" i="2"/>
  <c r="E2879" i="2"/>
  <c r="E2878" i="2" s="1"/>
  <c r="G2876" i="2"/>
  <c r="H2875" i="2"/>
  <c r="F2875" i="2"/>
  <c r="E2875" i="2"/>
  <c r="G2874" i="2"/>
  <c r="H2873" i="2"/>
  <c r="F2873" i="2"/>
  <c r="E2873" i="2"/>
  <c r="G2872" i="2"/>
  <c r="H2871" i="2"/>
  <c r="F2871" i="2"/>
  <c r="F2870" i="2" s="1"/>
  <c r="E2871" i="2"/>
  <c r="G2868" i="2"/>
  <c r="G2867" i="2"/>
  <c r="H2866" i="2"/>
  <c r="F2866" i="2"/>
  <c r="E2866" i="2"/>
  <c r="F2865" i="2"/>
  <c r="G2865" i="2" s="1"/>
  <c r="G2864" i="2"/>
  <c r="H2863" i="2"/>
  <c r="F2863" i="2"/>
  <c r="E2863" i="2"/>
  <c r="G2862" i="2"/>
  <c r="H2861" i="2"/>
  <c r="F2861" i="2"/>
  <c r="E2861" i="2"/>
  <c r="G2860" i="2"/>
  <c r="G2859" i="2"/>
  <c r="H2858" i="2"/>
  <c r="F2858" i="2"/>
  <c r="E2858" i="2"/>
  <c r="G2857" i="2"/>
  <c r="G2855" i="2"/>
  <c r="H2854" i="2"/>
  <c r="F2854" i="2"/>
  <c r="E2854" i="2"/>
  <c r="G2853" i="2"/>
  <c r="G2852" i="2"/>
  <c r="H2851" i="2"/>
  <c r="F2851" i="2"/>
  <c r="E2851" i="2"/>
  <c r="G2850" i="2"/>
  <c r="H2849" i="2"/>
  <c r="F2849" i="2"/>
  <c r="E2849" i="2"/>
  <c r="G2846" i="2"/>
  <c r="H2845" i="2"/>
  <c r="H2844" i="2" s="1"/>
  <c r="F2845" i="2"/>
  <c r="E2845" i="2"/>
  <c r="G2844" i="2"/>
  <c r="G2842" i="2"/>
  <c r="H2841" i="2"/>
  <c r="H2840" i="2" s="1"/>
  <c r="F2841" i="2"/>
  <c r="E2841" i="2"/>
  <c r="G2840" i="2"/>
  <c r="G2838" i="2"/>
  <c r="H2837" i="2"/>
  <c r="H2836" i="2" s="1"/>
  <c r="F2837" i="2"/>
  <c r="E2837" i="2"/>
  <c r="G2836" i="2"/>
  <c r="G2834" i="2"/>
  <c r="G2833" i="2"/>
  <c r="G2832" i="2"/>
  <c r="G2831" i="2"/>
  <c r="G2830" i="2"/>
  <c r="H2829" i="2"/>
  <c r="H2828" i="2" s="1"/>
  <c r="F2829" i="2"/>
  <c r="E2829" i="2"/>
  <c r="E2828" i="2" s="1"/>
  <c r="G2826" i="2"/>
  <c r="G2825" i="2"/>
  <c r="H2824" i="2"/>
  <c r="F2824" i="2"/>
  <c r="E2824" i="2"/>
  <c r="G2823" i="2"/>
  <c r="H2822" i="2"/>
  <c r="F2822" i="2"/>
  <c r="E2822" i="2"/>
  <c r="G2821" i="2"/>
  <c r="H2820" i="2"/>
  <c r="F2820" i="2"/>
  <c r="E2820" i="2"/>
  <c r="G2819" i="2"/>
  <c r="G2817" i="2"/>
  <c r="H2816" i="2"/>
  <c r="F2816" i="2"/>
  <c r="E2816" i="2"/>
  <c r="G2815" i="2"/>
  <c r="H2814" i="2"/>
  <c r="H2813" i="2" s="1"/>
  <c r="F2814" i="2"/>
  <c r="E2814" i="2"/>
  <c r="G2813" i="2"/>
  <c r="G2811" i="2"/>
  <c r="H2810" i="2"/>
  <c r="F2810" i="2"/>
  <c r="E2810" i="2"/>
  <c r="G2809" i="2"/>
  <c r="H2808" i="2"/>
  <c r="H2807" i="2" s="1"/>
  <c r="F2808" i="2"/>
  <c r="E2808" i="2"/>
  <c r="G2807" i="2"/>
  <c r="H2804" i="2"/>
  <c r="G2804" i="2"/>
  <c r="F2804" i="2"/>
  <c r="E2804" i="2"/>
  <c r="G2803" i="2"/>
  <c r="H2802" i="2"/>
  <c r="F2802" i="2"/>
  <c r="E2802" i="2"/>
  <c r="G2801" i="2"/>
  <c r="G2800" i="2"/>
  <c r="G2799" i="2"/>
  <c r="G2798" i="2"/>
  <c r="H2797" i="2"/>
  <c r="F2797" i="2"/>
  <c r="E2797" i="2"/>
  <c r="G2796" i="2"/>
  <c r="G2795" i="2"/>
  <c r="H2794" i="2"/>
  <c r="F2794" i="2"/>
  <c r="E2794" i="2"/>
  <c r="G2793" i="2"/>
  <c r="G2792" i="2"/>
  <c r="H2791" i="2"/>
  <c r="F2791" i="2"/>
  <c r="E2791" i="2"/>
  <c r="G2790" i="2"/>
  <c r="G2789" i="2"/>
  <c r="G2788" i="2"/>
  <c r="G2787" i="2"/>
  <c r="G2786" i="2"/>
  <c r="G2785" i="2"/>
  <c r="G2784" i="2"/>
  <c r="G2783" i="2"/>
  <c r="G2782" i="2"/>
  <c r="H2781" i="2"/>
  <c r="F2781" i="2"/>
  <c r="E2781" i="2"/>
  <c r="G2780" i="2"/>
  <c r="G2779" i="2"/>
  <c r="H2778" i="2"/>
  <c r="F2778" i="2"/>
  <c r="E2778" i="2"/>
  <c r="G2777" i="2"/>
  <c r="G2776" i="2"/>
  <c r="H2775" i="2"/>
  <c r="F2775" i="2"/>
  <c r="E2775" i="2"/>
  <c r="G2774" i="2"/>
  <c r="F2773" i="2"/>
  <c r="E2773" i="2"/>
  <c r="G2772" i="2"/>
  <c r="G2770" i="2"/>
  <c r="H2769" i="2"/>
  <c r="F2769" i="2"/>
  <c r="E2769" i="2"/>
  <c r="G2768" i="2"/>
  <c r="G2767" i="2"/>
  <c r="G2766" i="2"/>
  <c r="G2765" i="2"/>
  <c r="H2764" i="2"/>
  <c r="F2764" i="2"/>
  <c r="E2764" i="2"/>
  <c r="G2763" i="2"/>
  <c r="G2762" i="2"/>
  <c r="G2761" i="2"/>
  <c r="G2760" i="2"/>
  <c r="G2759" i="2"/>
  <c r="G2758" i="2"/>
  <c r="G2757" i="2"/>
  <c r="G2756" i="2"/>
  <c r="H2755" i="2"/>
  <c r="F2755" i="2"/>
  <c r="E2755" i="2"/>
  <c r="G2754" i="2"/>
  <c r="G2753" i="2"/>
  <c r="G2752" i="2"/>
  <c r="G2751" i="2"/>
  <c r="G2750" i="2"/>
  <c r="G2749" i="2"/>
  <c r="G2748" i="2"/>
  <c r="G2747" i="2"/>
  <c r="G2746" i="2"/>
  <c r="G2745" i="2"/>
  <c r="H2744" i="2"/>
  <c r="F2744" i="2"/>
  <c r="E2744" i="2"/>
  <c r="G2743" i="2"/>
  <c r="G2742" i="2"/>
  <c r="H2741" i="2"/>
  <c r="F2741" i="2"/>
  <c r="E2741" i="2"/>
  <c r="G2737" i="2"/>
  <c r="G2736" i="2"/>
  <c r="G2735" i="2"/>
  <c r="G2734" i="2"/>
  <c r="G2733" i="2"/>
  <c r="G2732" i="2"/>
  <c r="G2731" i="2"/>
  <c r="E2730" i="2"/>
  <c r="G2730" i="2" s="1"/>
  <c r="F2729" i="2"/>
  <c r="F2728" i="2" s="1"/>
  <c r="H2728" i="2"/>
  <c r="G2726" i="2"/>
  <c r="H2726" i="2" s="1"/>
  <c r="G2725" i="2"/>
  <c r="H2725" i="2" s="1"/>
  <c r="F2724" i="2"/>
  <c r="F2723" i="2" s="1"/>
  <c r="E2724" i="2"/>
  <c r="E2723" i="2" s="1"/>
  <c r="G2721" i="2"/>
  <c r="H2721" i="2" s="1"/>
  <c r="F2720" i="2"/>
  <c r="G2720" i="2" s="1"/>
  <c r="H2720" i="2" s="1"/>
  <c r="G2719" i="2"/>
  <c r="H2719" i="2" s="1"/>
  <c r="G2718" i="2"/>
  <c r="H2718" i="2" s="1"/>
  <c r="G2717" i="2"/>
  <c r="H2717" i="2" s="1"/>
  <c r="F2716" i="2"/>
  <c r="G2715" i="2"/>
  <c r="H2715" i="2" s="1"/>
  <c r="G2714" i="2"/>
  <c r="H2714" i="2" s="1"/>
  <c r="F2713" i="2"/>
  <c r="G2713" i="2" s="1"/>
  <c r="H2713" i="2" s="1"/>
  <c r="G2712" i="2"/>
  <c r="H2712" i="2" s="1"/>
  <c r="G2711" i="2"/>
  <c r="H2711" i="2" s="1"/>
  <c r="F2710" i="2"/>
  <c r="E2710" i="2"/>
  <c r="E2709" i="2" s="1"/>
  <c r="G2707" i="2"/>
  <c r="H2707" i="2" s="1"/>
  <c r="F2706" i="2"/>
  <c r="G2706" i="2" s="1"/>
  <c r="H2706" i="2" s="1"/>
  <c r="G2705" i="2"/>
  <c r="H2705" i="2" s="1"/>
  <c r="F2704" i="2"/>
  <c r="E2704" i="2"/>
  <c r="G2703" i="2"/>
  <c r="H2703" i="2" s="1"/>
  <c r="G2702" i="2"/>
  <c r="H2702" i="2" s="1"/>
  <c r="F2701" i="2"/>
  <c r="E2701" i="2"/>
  <c r="G2700" i="2"/>
  <c r="H2700" i="2" s="1"/>
  <c r="G2699" i="2"/>
  <c r="H2699" i="2" s="1"/>
  <c r="F2698" i="2"/>
  <c r="E2698" i="2"/>
  <c r="G2697" i="2"/>
  <c r="H2697" i="2" s="1"/>
  <c r="G2696" i="2"/>
  <c r="H2696" i="2" s="1"/>
  <c r="G2695" i="2"/>
  <c r="H2695" i="2" s="1"/>
  <c r="F2694" i="2"/>
  <c r="E2694" i="2"/>
  <c r="G2693" i="2"/>
  <c r="H2693" i="2" s="1"/>
  <c r="F2692" i="2"/>
  <c r="G2692" i="2" s="1"/>
  <c r="H2692" i="2" s="1"/>
  <c r="G2691" i="2"/>
  <c r="H2691" i="2" s="1"/>
  <c r="F2690" i="2"/>
  <c r="G2690" i="2" s="1"/>
  <c r="H2690" i="2" s="1"/>
  <c r="G2689" i="2"/>
  <c r="H2689" i="2" s="1"/>
  <c r="G2688" i="2"/>
  <c r="H2688" i="2" s="1"/>
  <c r="F2687" i="2"/>
  <c r="G2687" i="2" s="1"/>
  <c r="H2687" i="2" s="1"/>
  <c r="G2686" i="2"/>
  <c r="H2686" i="2" s="1"/>
  <c r="F2685" i="2"/>
  <c r="G2685" i="2" s="1"/>
  <c r="H2685" i="2" s="1"/>
  <c r="H2683" i="2"/>
  <c r="G2682" i="2"/>
  <c r="H2682" i="2" s="1"/>
  <c r="F2681" i="2"/>
  <c r="E2681" i="2"/>
  <c r="E2675" i="2" s="1"/>
  <c r="G2680" i="2"/>
  <c r="H2680" i="2" s="1"/>
  <c r="F2679" i="2"/>
  <c r="G2679" i="2" s="1"/>
  <c r="H2679" i="2" s="1"/>
  <c r="G2678" i="2"/>
  <c r="H2678" i="2" s="1"/>
  <c r="G2677" i="2"/>
  <c r="H2677" i="2" s="1"/>
  <c r="F2676" i="2"/>
  <c r="H2674" i="2"/>
  <c r="G2673" i="2"/>
  <c r="H2673" i="2" s="1"/>
  <c r="G2672" i="2"/>
  <c r="H2672" i="2" s="1"/>
  <c r="G2671" i="2"/>
  <c r="H2671" i="2" s="1"/>
  <c r="F2670" i="2"/>
  <c r="F2669" i="2" s="1"/>
  <c r="E2670" i="2"/>
  <c r="E2669" i="2" s="1"/>
  <c r="H2668" i="2"/>
  <c r="G2667" i="2"/>
  <c r="H2667" i="2" s="1"/>
  <c r="F2666" i="2"/>
  <c r="F2665" i="2" s="1"/>
  <c r="E2666" i="2"/>
  <c r="E2665" i="2" s="1"/>
  <c r="H2664" i="2"/>
  <c r="G2663" i="2"/>
  <c r="H2663" i="2" s="1"/>
  <c r="G2662" i="2"/>
  <c r="H2662" i="2" s="1"/>
  <c r="G2661" i="2"/>
  <c r="H2661" i="2" s="1"/>
  <c r="F2660" i="2"/>
  <c r="F2659" i="2" s="1"/>
  <c r="E2660" i="2"/>
  <c r="E2659" i="2" s="1"/>
  <c r="H2658" i="2"/>
  <c r="G2657" i="2"/>
  <c r="H2657" i="2" s="1"/>
  <c r="F2656" i="2"/>
  <c r="E2656" i="2"/>
  <c r="E2655" i="2"/>
  <c r="G2655" i="2" s="1"/>
  <c r="H2655" i="2" s="1"/>
  <c r="F2654" i="2"/>
  <c r="H2652" i="2"/>
  <c r="G2651" i="2"/>
  <c r="H2651" i="2" s="1"/>
  <c r="F2650" i="2"/>
  <c r="G2650" i="2" s="1"/>
  <c r="H2650" i="2" s="1"/>
  <c r="G2649" i="2"/>
  <c r="H2649" i="2" s="1"/>
  <c r="H2648" i="2"/>
  <c r="G2647" i="2"/>
  <c r="H2647" i="2" s="1"/>
  <c r="G2646" i="2"/>
  <c r="H2646" i="2" s="1"/>
  <c r="F2645" i="2"/>
  <c r="G2645" i="2" s="1"/>
  <c r="H2645" i="2" s="1"/>
  <c r="H2643" i="2"/>
  <c r="G2642" i="2"/>
  <c r="H2642" i="2" s="1"/>
  <c r="F2641" i="2"/>
  <c r="H2639" i="2"/>
  <c r="G2638" i="2"/>
  <c r="H2638" i="2" s="1"/>
  <c r="F2637" i="2"/>
  <c r="G2637" i="2" s="1"/>
  <c r="H2637" i="2" s="1"/>
  <c r="G2636" i="2"/>
  <c r="H2636" i="2" s="1"/>
  <c r="F2635" i="2"/>
  <c r="G2635" i="2" s="1"/>
  <c r="H2635" i="2" s="1"/>
  <c r="E2634" i="2"/>
  <c r="H2633" i="2"/>
  <c r="G2632" i="2"/>
  <c r="H2632" i="2" s="1"/>
  <c r="F2631" i="2"/>
  <c r="G2631" i="2" s="1"/>
  <c r="H2631" i="2" s="1"/>
  <c r="G2630" i="2"/>
  <c r="H2630" i="2" s="1"/>
  <c r="G2629" i="2"/>
  <c r="H2629" i="2" s="1"/>
  <c r="F2628" i="2"/>
  <c r="G2628" i="2" s="1"/>
  <c r="H2628" i="2" s="1"/>
  <c r="G2627" i="2"/>
  <c r="H2627" i="2" s="1"/>
  <c r="F2626" i="2"/>
  <c r="G2626" i="2" s="1"/>
  <c r="H2626" i="2" s="1"/>
  <c r="G2625" i="2"/>
  <c r="H2625" i="2" s="1"/>
  <c r="G2624" i="2"/>
  <c r="H2624" i="2" s="1"/>
  <c r="F2623" i="2"/>
  <c r="G2623" i="2" s="1"/>
  <c r="H2623" i="2" s="1"/>
  <c r="G2622" i="2"/>
  <c r="H2622" i="2" s="1"/>
  <c r="G2621" i="2"/>
  <c r="H2621" i="2" s="1"/>
  <c r="F2620" i="2"/>
  <c r="G2620" i="2" s="1"/>
  <c r="H2620" i="2" s="1"/>
  <c r="G2619" i="2"/>
  <c r="H2619" i="2" s="1"/>
  <c r="F2618" i="2"/>
  <c r="G2618" i="2" s="1"/>
  <c r="H2618" i="2" s="1"/>
  <c r="E2617" i="2"/>
  <c r="H2616" i="2"/>
  <c r="G2615" i="2"/>
  <c r="H2615" i="2" s="1"/>
  <c r="F2614" i="2"/>
  <c r="G2614" i="2" s="1"/>
  <c r="H2614" i="2" s="1"/>
  <c r="G2613" i="2"/>
  <c r="H2613" i="2" s="1"/>
  <c r="F2612" i="2"/>
  <c r="G2612" i="2" s="1"/>
  <c r="H2612" i="2" s="1"/>
  <c r="G2611" i="2"/>
  <c r="H2611" i="2" s="1"/>
  <c r="F2610" i="2"/>
  <c r="G2610" i="2" s="1"/>
  <c r="H2610" i="2" s="1"/>
  <c r="G2609" i="2"/>
  <c r="H2609" i="2" s="1"/>
  <c r="G2608" i="2"/>
  <c r="H2608" i="2" s="1"/>
  <c r="G2607" i="2"/>
  <c r="H2607" i="2" s="1"/>
  <c r="F2606" i="2"/>
  <c r="G2606" i="2" s="1"/>
  <c r="H2606" i="2" s="1"/>
  <c r="G2605" i="2"/>
  <c r="H2605" i="2" s="1"/>
  <c r="G2604" i="2"/>
  <c r="H2604" i="2" s="1"/>
  <c r="E2603" i="2"/>
  <c r="E2599" i="2" s="1"/>
  <c r="G2602" i="2"/>
  <c r="H2602" i="2" s="1"/>
  <c r="G2601" i="2"/>
  <c r="H2601" i="2" s="1"/>
  <c r="G2600" i="2"/>
  <c r="H2600" i="2" s="1"/>
  <c r="F2599" i="2"/>
  <c r="G2598" i="2"/>
  <c r="H2598" i="2" s="1"/>
  <c r="G2597" i="2"/>
  <c r="H2597" i="2" s="1"/>
  <c r="F2596" i="2"/>
  <c r="G2592" i="2"/>
  <c r="H2591" i="2"/>
  <c r="H2590" i="2" s="1"/>
  <c r="E2591" i="2"/>
  <c r="G2591" i="2" s="1"/>
  <c r="G2588" i="2"/>
  <c r="G2587" i="2"/>
  <c r="H2586" i="2"/>
  <c r="H2585" i="2" s="1"/>
  <c r="E2586" i="2"/>
  <c r="G2586" i="2" s="1"/>
  <c r="G2583" i="2"/>
  <c r="G2582" i="2"/>
  <c r="G2580" i="2"/>
  <c r="G2579" i="2"/>
  <c r="G2578" i="2"/>
  <c r="H2577" i="2"/>
  <c r="E2577" i="2"/>
  <c r="G2577" i="2" s="1"/>
  <c r="G2576" i="2"/>
  <c r="H2575" i="2"/>
  <c r="E2575" i="2"/>
  <c r="G2575" i="2" s="1"/>
  <c r="G2574" i="2"/>
  <c r="H2573" i="2"/>
  <c r="E2573" i="2"/>
  <c r="G2573" i="2" s="1"/>
  <c r="G2570" i="2"/>
  <c r="G2569" i="2"/>
  <c r="H2568" i="2"/>
  <c r="H2567" i="2" s="1"/>
  <c r="E2568" i="2"/>
  <c r="G2568" i="2" s="1"/>
  <c r="G2565" i="2"/>
  <c r="G2564" i="2"/>
  <c r="H2563" i="2"/>
  <c r="H2562" i="2" s="1"/>
  <c r="E2563" i="2"/>
  <c r="G2563" i="2" s="1"/>
  <c r="G2560" i="2"/>
  <c r="E2559" i="2"/>
  <c r="G2559" i="2" s="1"/>
  <c r="G2556" i="2"/>
  <c r="H2555" i="2"/>
  <c r="H2554" i="2" s="1"/>
  <c r="E2555" i="2"/>
  <c r="G2555" i="2" s="1"/>
  <c r="G2552" i="2"/>
  <c r="H2551" i="2"/>
  <c r="E2551" i="2"/>
  <c r="G2551" i="2" s="1"/>
  <c r="G2550" i="2"/>
  <c r="H2549" i="2"/>
  <c r="E2549" i="2"/>
  <c r="G2549" i="2" s="1"/>
  <c r="G2545" i="2"/>
  <c r="H2544" i="2"/>
  <c r="E2544" i="2"/>
  <c r="G2544" i="2" s="1"/>
  <c r="G2543" i="2"/>
  <c r="G2542" i="2"/>
  <c r="H2541" i="2"/>
  <c r="E2541" i="2"/>
  <c r="G2541" i="2" s="1"/>
  <c r="G2540" i="2"/>
  <c r="H2539" i="2"/>
  <c r="E2539" i="2"/>
  <c r="G2539" i="2" s="1"/>
  <c r="G2536" i="2"/>
  <c r="E2535" i="2"/>
  <c r="G2532" i="2"/>
  <c r="G2531" i="2"/>
  <c r="H2530" i="2"/>
  <c r="H2529" i="2" s="1"/>
  <c r="E2530" i="2"/>
  <c r="G2530" i="2" s="1"/>
  <c r="G2527" i="2"/>
  <c r="G2526" i="2"/>
  <c r="G2525" i="2"/>
  <c r="E2523" i="2"/>
  <c r="G2523" i="2" s="1"/>
  <c r="E2521" i="2"/>
  <c r="G2521" i="2" s="1"/>
  <c r="H2520" i="2"/>
  <c r="H2519" i="2" s="1"/>
  <c r="G2520" i="2"/>
  <c r="F2519" i="2"/>
  <c r="E2519" i="2"/>
  <c r="E2517" i="2"/>
  <c r="G2517" i="2" s="1"/>
  <c r="H2516" i="2"/>
  <c r="G2516" i="2"/>
  <c r="E2515" i="2"/>
  <c r="G2515" i="2" s="1"/>
  <c r="H2514" i="2"/>
  <c r="G2514" i="2"/>
  <c r="E2513" i="2"/>
  <c r="G2513" i="2" s="1"/>
  <c r="H2512" i="2"/>
  <c r="G2512" i="2"/>
  <c r="E2511" i="2"/>
  <c r="G2511" i="2" s="1"/>
  <c r="G2509" i="2"/>
  <c r="H2508" i="2"/>
  <c r="G2508" i="2"/>
  <c r="G2507" i="2"/>
  <c r="H2506" i="2"/>
  <c r="G2506" i="2"/>
  <c r="G2505" i="2"/>
  <c r="H2504" i="2"/>
  <c r="G2504" i="2"/>
  <c r="G2503" i="2"/>
  <c r="G2502" i="2"/>
  <c r="G2501" i="2"/>
  <c r="G2500" i="2"/>
  <c r="H2499" i="2"/>
  <c r="E2499" i="2"/>
  <c r="G2499" i="2" s="1"/>
  <c r="G2496" i="2"/>
  <c r="H2495" i="2"/>
  <c r="H2494" i="2" s="1"/>
  <c r="G2495" i="2"/>
  <c r="G2494" i="2"/>
  <c r="G2492" i="2"/>
  <c r="H2491" i="2"/>
  <c r="G2491" i="2"/>
  <c r="G2490" i="2"/>
  <c r="G2489" i="2"/>
  <c r="H2488" i="2"/>
  <c r="F2488" i="2"/>
  <c r="E2488" i="2"/>
  <c r="G2487" i="2"/>
  <c r="G2486" i="2"/>
  <c r="G2485" i="2"/>
  <c r="H2484" i="2"/>
  <c r="F2484" i="2"/>
  <c r="E2484" i="2"/>
  <c r="G2483" i="2"/>
  <c r="H2482" i="2"/>
  <c r="F2482" i="2"/>
  <c r="E2482" i="2"/>
  <c r="G2481" i="2"/>
  <c r="F2480" i="2"/>
  <c r="E2480" i="2"/>
  <c r="G2479" i="2"/>
  <c r="H2478" i="2"/>
  <c r="F2478" i="2"/>
  <c r="G2478" i="2" s="1"/>
  <c r="G2477" i="2"/>
  <c r="H2476" i="2"/>
  <c r="F2476" i="2"/>
  <c r="G2476" i="2" s="1"/>
  <c r="G2475" i="2"/>
  <c r="H2474" i="2"/>
  <c r="F2474" i="2"/>
  <c r="G2470" i="2"/>
  <c r="H2470" i="2" s="1"/>
  <c r="G2469" i="2"/>
  <c r="H2469" i="2" s="1"/>
  <c r="F2468" i="2"/>
  <c r="E2468" i="2"/>
  <c r="G2467" i="2"/>
  <c r="H2467" i="2" s="1"/>
  <c r="G2466" i="2"/>
  <c r="H2466" i="2" s="1"/>
  <c r="F2465" i="2"/>
  <c r="F2464" i="2" s="1"/>
  <c r="E2465" i="2"/>
  <c r="G2462" i="2"/>
  <c r="H2462" i="2" s="1"/>
  <c r="F2461" i="2"/>
  <c r="F2460" i="2" s="1"/>
  <c r="E2461" i="2"/>
  <c r="E2460" i="2" s="1"/>
  <c r="G2458" i="2"/>
  <c r="H2458" i="2" s="1"/>
  <c r="G2457" i="2"/>
  <c r="H2457" i="2" s="1"/>
  <c r="F2456" i="2"/>
  <c r="E2456" i="2"/>
  <c r="G2455" i="2"/>
  <c r="H2455" i="2" s="1"/>
  <c r="G2454" i="2"/>
  <c r="H2454" i="2" s="1"/>
  <c r="F2453" i="2"/>
  <c r="E2453" i="2"/>
  <c r="E2452" i="2" s="1"/>
  <c r="G2450" i="2"/>
  <c r="H2450" i="2" s="1"/>
  <c r="G2449" i="2"/>
  <c r="H2449" i="2" s="1"/>
  <c r="F2448" i="2"/>
  <c r="G2448" i="2" s="1"/>
  <c r="H2448" i="2" s="1"/>
  <c r="E2447" i="2"/>
  <c r="G2445" i="2"/>
  <c r="H2445" i="2" s="1"/>
  <c r="F2444" i="2"/>
  <c r="G2444" i="2" s="1"/>
  <c r="H2444" i="2" s="1"/>
  <c r="E2443" i="2"/>
  <c r="G2441" i="2"/>
  <c r="H2441" i="2" s="1"/>
  <c r="G2440" i="2"/>
  <c r="H2440" i="2" s="1"/>
  <c r="F2439" i="2"/>
  <c r="F2438" i="2" s="1"/>
  <c r="E2439" i="2"/>
  <c r="E2438" i="2" s="1"/>
  <c r="G2436" i="2"/>
  <c r="H2436" i="2" s="1"/>
  <c r="F2435" i="2"/>
  <c r="G2435" i="2" s="1"/>
  <c r="H2435" i="2" s="1"/>
  <c r="E2434" i="2"/>
  <c r="G2432" i="2"/>
  <c r="H2432" i="2" s="1"/>
  <c r="G2431" i="2"/>
  <c r="H2431" i="2" s="1"/>
  <c r="F2430" i="2"/>
  <c r="E2429" i="2"/>
  <c r="G2427" i="2"/>
  <c r="H2427" i="2" s="1"/>
  <c r="G2426" i="2"/>
  <c r="H2426" i="2" s="1"/>
  <c r="G2425" i="2"/>
  <c r="H2425" i="2" s="1"/>
  <c r="G2424" i="2"/>
  <c r="H2424" i="2" s="1"/>
  <c r="G2423" i="2"/>
  <c r="H2423" i="2" s="1"/>
  <c r="G2422" i="2"/>
  <c r="H2422" i="2" s="1"/>
  <c r="G2421" i="2"/>
  <c r="H2421" i="2" s="1"/>
  <c r="F2420" i="2"/>
  <c r="G2420" i="2" s="1"/>
  <c r="G2417" i="2"/>
  <c r="H2417" i="2" s="1"/>
  <c r="F2416" i="2"/>
  <c r="E2416" i="2"/>
  <c r="G2415" i="2"/>
  <c r="H2415" i="2" s="1"/>
  <c r="G2414" i="2"/>
  <c r="H2414" i="2" s="1"/>
  <c r="F2413" i="2"/>
  <c r="E2413" i="2"/>
  <c r="G2412" i="2"/>
  <c r="H2412" i="2" s="1"/>
  <c r="G2411" i="2"/>
  <c r="H2411" i="2" s="1"/>
  <c r="F2410" i="2"/>
  <c r="E2410" i="2"/>
  <c r="G2409" i="2"/>
  <c r="H2409" i="2" s="1"/>
  <c r="G2408" i="2"/>
  <c r="H2408" i="2" s="1"/>
  <c r="F2407" i="2"/>
  <c r="E2407" i="2"/>
  <c r="H2406" i="2"/>
  <c r="H2405" i="2"/>
  <c r="F2405" i="2"/>
  <c r="G2402" i="2"/>
  <c r="H2402" i="2" s="1"/>
  <c r="F2401" i="2"/>
  <c r="G2401" i="2" s="1"/>
  <c r="H2401" i="2" s="1"/>
  <c r="G2400" i="2"/>
  <c r="H2400" i="2" s="1"/>
  <c r="F2399" i="2"/>
  <c r="G2399" i="2" s="1"/>
  <c r="H2399" i="2" s="1"/>
  <c r="G2398" i="2"/>
  <c r="H2398" i="2" s="1"/>
  <c r="F2397" i="2"/>
  <c r="G2397" i="2" s="1"/>
  <c r="H2397" i="2" s="1"/>
  <c r="E2396" i="2"/>
  <c r="G2394" i="2"/>
  <c r="H2394" i="2" s="1"/>
  <c r="F2393" i="2"/>
  <c r="G2393" i="2" s="1"/>
  <c r="H2393" i="2" s="1"/>
  <c r="E2392" i="2"/>
  <c r="G2390" i="2"/>
  <c r="H2390" i="2" s="1"/>
  <c r="F2389" i="2"/>
  <c r="E2388" i="2"/>
  <c r="G2386" i="2"/>
  <c r="H2386" i="2" s="1"/>
  <c r="F2385" i="2"/>
  <c r="E2385" i="2"/>
  <c r="G2384" i="2"/>
  <c r="H2384" i="2" s="1"/>
  <c r="F2383" i="2"/>
  <c r="E2383" i="2"/>
  <c r="G2380" i="2"/>
  <c r="H2380" i="2" s="1"/>
  <c r="G2379" i="2"/>
  <c r="H2379" i="2" s="1"/>
  <c r="G2378" i="2"/>
  <c r="H2378" i="2" s="1"/>
  <c r="G2377" i="2"/>
  <c r="H2377" i="2" s="1"/>
  <c r="G2376" i="2"/>
  <c r="H2376" i="2" s="1"/>
  <c r="F2375" i="2"/>
  <c r="E2375" i="2"/>
  <c r="G2374" i="2"/>
  <c r="H2374" i="2" s="1"/>
  <c r="G2373" i="2"/>
  <c r="H2373" i="2" s="1"/>
  <c r="G2372" i="2"/>
  <c r="H2372" i="2" s="1"/>
  <c r="F2371" i="2"/>
  <c r="E2371" i="2"/>
  <c r="G2370" i="2"/>
  <c r="H2370" i="2" s="1"/>
  <c r="G2369" i="2"/>
  <c r="H2369" i="2" s="1"/>
  <c r="F2368" i="2"/>
  <c r="E2368" i="2"/>
  <c r="G2367" i="2"/>
  <c r="H2367" i="2" s="1"/>
  <c r="G2366" i="2"/>
  <c r="H2366" i="2" s="1"/>
  <c r="G2365" i="2"/>
  <c r="H2365" i="2" s="1"/>
  <c r="G2364" i="2"/>
  <c r="H2364" i="2" s="1"/>
  <c r="G2363" i="2"/>
  <c r="H2363" i="2" s="1"/>
  <c r="G2362" i="2"/>
  <c r="H2362" i="2" s="1"/>
  <c r="G2361" i="2"/>
  <c r="H2361" i="2" s="1"/>
  <c r="G2360" i="2"/>
  <c r="H2360" i="2" s="1"/>
  <c r="F2359" i="2"/>
  <c r="E2359" i="2"/>
  <c r="G2358" i="2"/>
  <c r="H2358" i="2" s="1"/>
  <c r="G2357" i="2"/>
  <c r="H2357" i="2" s="1"/>
  <c r="G2356" i="2"/>
  <c r="H2356" i="2" s="1"/>
  <c r="G2355" i="2"/>
  <c r="H2355" i="2" s="1"/>
  <c r="F2354" i="2"/>
  <c r="E2354" i="2"/>
  <c r="G2351" i="2"/>
  <c r="H2351" i="2" s="1"/>
  <c r="F2350" i="2"/>
  <c r="E2350" i="2"/>
  <c r="G2349" i="2"/>
  <c r="H2349" i="2" s="1"/>
  <c r="F2348" i="2"/>
  <c r="E2348" i="2"/>
  <c r="G2347" i="2"/>
  <c r="H2347" i="2" s="1"/>
  <c r="G2346" i="2"/>
  <c r="H2346" i="2" s="1"/>
  <c r="F2345" i="2"/>
  <c r="E2345" i="2"/>
  <c r="G2344" i="2"/>
  <c r="H2344" i="2" s="1"/>
  <c r="G2343" i="2"/>
  <c r="H2343" i="2" s="1"/>
  <c r="G2342" i="2"/>
  <c r="H2342" i="2" s="1"/>
  <c r="F2341" i="2"/>
  <c r="E2341" i="2"/>
  <c r="G2340" i="2"/>
  <c r="H2340" i="2" s="1"/>
  <c r="G2339" i="2"/>
  <c r="H2339" i="2" s="1"/>
  <c r="F2338" i="2"/>
  <c r="E2338" i="2"/>
  <c r="G2337" i="2"/>
  <c r="H2337" i="2" s="1"/>
  <c r="G2336" i="2"/>
  <c r="H2336" i="2" s="1"/>
  <c r="F2335" i="2"/>
  <c r="E2335" i="2"/>
  <c r="G2334" i="2"/>
  <c r="H2334" i="2" s="1"/>
  <c r="G2333" i="2"/>
  <c r="H2333" i="2" s="1"/>
  <c r="G2332" i="2"/>
  <c r="H2332" i="2" s="1"/>
  <c r="G2331" i="2"/>
  <c r="H2331" i="2" s="1"/>
  <c r="G2330" i="2"/>
  <c r="H2330" i="2" s="1"/>
  <c r="G2329" i="2"/>
  <c r="H2329" i="2" s="1"/>
  <c r="G2328" i="2"/>
  <c r="H2328" i="2" s="1"/>
  <c r="G2327" i="2"/>
  <c r="H2327" i="2" s="1"/>
  <c r="G2326" i="2"/>
  <c r="H2326" i="2" s="1"/>
  <c r="G2325" i="2"/>
  <c r="H2325" i="2" s="1"/>
  <c r="G2324" i="2"/>
  <c r="H2324" i="2" s="1"/>
  <c r="G2323" i="2"/>
  <c r="H2323" i="2" s="1"/>
  <c r="F2322" i="2"/>
  <c r="E2322" i="2"/>
  <c r="G2321" i="2"/>
  <c r="H2321" i="2" s="1"/>
  <c r="G2320" i="2"/>
  <c r="H2320" i="2" s="1"/>
  <c r="G2319" i="2"/>
  <c r="H2319" i="2" s="1"/>
  <c r="G2318" i="2"/>
  <c r="H2318" i="2" s="1"/>
  <c r="G2317" i="2"/>
  <c r="H2317" i="2" s="1"/>
  <c r="G2316" i="2"/>
  <c r="H2316" i="2" s="1"/>
  <c r="G2315" i="2"/>
  <c r="H2315" i="2" s="1"/>
  <c r="F2314" i="2"/>
  <c r="E2314" i="2"/>
  <c r="G2310" i="2"/>
  <c r="H2310" i="2" s="1"/>
  <c r="G2309" i="2"/>
  <c r="H2309" i="2" s="1"/>
  <c r="H2308" i="2"/>
  <c r="G2307" i="2"/>
  <c r="H2307" i="2" s="1"/>
  <c r="G2306" i="2"/>
  <c r="H2306" i="2" s="1"/>
  <c r="G2305" i="2"/>
  <c r="H2305" i="2" s="1"/>
  <c r="G2304" i="2"/>
  <c r="H2304" i="2" s="1"/>
  <c r="G2303" i="2"/>
  <c r="H2303" i="2" s="1"/>
  <c r="G2302" i="2"/>
  <c r="H2302" i="2" s="1"/>
  <c r="G2301" i="2"/>
  <c r="H2301" i="2" s="1"/>
  <c r="G2300" i="2"/>
  <c r="H2300" i="2" s="1"/>
  <c r="G2299" i="2"/>
  <c r="H2299" i="2" s="1"/>
  <c r="G2298" i="2"/>
  <c r="H2298" i="2" s="1"/>
  <c r="G2297" i="2"/>
  <c r="H2297" i="2" s="1"/>
  <c r="G2296" i="2"/>
  <c r="H2296" i="2" s="1"/>
  <c r="F2295" i="2"/>
  <c r="E2295" i="2"/>
  <c r="G2294" i="2"/>
  <c r="H2294" i="2" s="1"/>
  <c r="G2293" i="2"/>
  <c r="H2293" i="2" s="1"/>
  <c r="G2292" i="2"/>
  <c r="H2292" i="2" s="1"/>
  <c r="G2291" i="2"/>
  <c r="H2291" i="2" s="1"/>
  <c r="G2290" i="2"/>
  <c r="H2290" i="2" s="1"/>
  <c r="G2289" i="2"/>
  <c r="H2289" i="2" s="1"/>
  <c r="G2288" i="2"/>
  <c r="H2288" i="2" s="1"/>
  <c r="G2287" i="2"/>
  <c r="H2287" i="2" s="1"/>
  <c r="G2286" i="2"/>
  <c r="H2286" i="2" s="1"/>
  <c r="G2285" i="2"/>
  <c r="H2285" i="2" s="1"/>
  <c r="F2284" i="2"/>
  <c r="E2284" i="2"/>
  <c r="G2282" i="2"/>
  <c r="H2282" i="2" s="1"/>
  <c r="G2281" i="2"/>
  <c r="H2281" i="2" s="1"/>
  <c r="G2280" i="2"/>
  <c r="H2280" i="2" s="1"/>
  <c r="G2279" i="2"/>
  <c r="H2279" i="2" s="1"/>
  <c r="G2278" i="2"/>
  <c r="H2278" i="2" s="1"/>
  <c r="G2277" i="2"/>
  <c r="H2277" i="2" s="1"/>
  <c r="F2276" i="2"/>
  <c r="E2276" i="2"/>
  <c r="G2275" i="2"/>
  <c r="H2275" i="2" s="1"/>
  <c r="G2274" i="2"/>
  <c r="H2274" i="2" s="1"/>
  <c r="G2273" i="2"/>
  <c r="H2273" i="2" s="1"/>
  <c r="G2272" i="2"/>
  <c r="H2272" i="2" s="1"/>
  <c r="G2271" i="2"/>
  <c r="H2271" i="2" s="1"/>
  <c r="G2270" i="2"/>
  <c r="H2270" i="2" s="1"/>
  <c r="G2269" i="2"/>
  <c r="H2269" i="2" s="1"/>
  <c r="G2268" i="2"/>
  <c r="H2268" i="2" s="1"/>
  <c r="G2267" i="2"/>
  <c r="H2267" i="2" s="1"/>
  <c r="G2266" i="2"/>
  <c r="H2266" i="2" s="1"/>
  <c r="G2265" i="2"/>
  <c r="H2265" i="2" s="1"/>
  <c r="G2264" i="2"/>
  <c r="H2264" i="2" s="1"/>
  <c r="G2263" i="2"/>
  <c r="H2263" i="2" s="1"/>
  <c r="F2262" i="2"/>
  <c r="E2262" i="2"/>
  <c r="G2258" i="2"/>
  <c r="H2258" i="2" s="1"/>
  <c r="F2257" i="2"/>
  <c r="F2256" i="2" s="1"/>
  <c r="G2256" i="2" s="1"/>
  <c r="H2256" i="2" s="1"/>
  <c r="E2257" i="2"/>
  <c r="G2254" i="2"/>
  <c r="H2254" i="2" s="1"/>
  <c r="G2253" i="2"/>
  <c r="H2253" i="2" s="1"/>
  <c r="F2252" i="2"/>
  <c r="F2251" i="2" s="1"/>
  <c r="E2252" i="2"/>
  <c r="E2251" i="2" s="1"/>
  <c r="G2249" i="2"/>
  <c r="H2249" i="2" s="1"/>
  <c r="F2248" i="2"/>
  <c r="F2247" i="2" s="1"/>
  <c r="E2248" i="2"/>
  <c r="E2247" i="2" s="1"/>
  <c r="G2245" i="2"/>
  <c r="H2245" i="2" s="1"/>
  <c r="G2244" i="2"/>
  <c r="H2244" i="2" s="1"/>
  <c r="F2243" i="2"/>
  <c r="E2243" i="2"/>
  <c r="G2242" i="2"/>
  <c r="H2242" i="2" s="1"/>
  <c r="F2241" i="2"/>
  <c r="E2241" i="2"/>
  <c r="G2240" i="2"/>
  <c r="H2240" i="2" s="1"/>
  <c r="F2239" i="2"/>
  <c r="E2239" i="2"/>
  <c r="G2236" i="2"/>
  <c r="H2236" i="2" s="1"/>
  <c r="G2235" i="2"/>
  <c r="H2235" i="2" s="1"/>
  <c r="G2234" i="2"/>
  <c r="H2234" i="2" s="1"/>
  <c r="F2233" i="2"/>
  <c r="E2233" i="2"/>
  <c r="G2232" i="2"/>
  <c r="H2232" i="2" s="1"/>
  <c r="F2231" i="2"/>
  <c r="E2231" i="2"/>
  <c r="G2230" i="2"/>
  <c r="H2230" i="2" s="1"/>
  <c r="G2229" i="2"/>
  <c r="H2229" i="2" s="1"/>
  <c r="G2228" i="2"/>
  <c r="H2228" i="2" s="1"/>
  <c r="F2227" i="2"/>
  <c r="E2227" i="2"/>
  <c r="G2226" i="2"/>
  <c r="F2225" i="2"/>
  <c r="E2225" i="2"/>
  <c r="G2222" i="2"/>
  <c r="H2222" i="2" s="1"/>
  <c r="F2221" i="2"/>
  <c r="E2221" i="2"/>
  <c r="G2220" i="2"/>
  <c r="H2220" i="2" s="1"/>
  <c r="F2219" i="2"/>
  <c r="E2219" i="2"/>
  <c r="G2218" i="2"/>
  <c r="H2218" i="2" s="1"/>
  <c r="G2217" i="2"/>
  <c r="H2217" i="2" s="1"/>
  <c r="G2216" i="2"/>
  <c r="H2216" i="2" s="1"/>
  <c r="F2215" i="2"/>
  <c r="E2215" i="2"/>
  <c r="G2212" i="2"/>
  <c r="H2212" i="2" s="1"/>
  <c r="G2211" i="2"/>
  <c r="H2211" i="2" s="1"/>
  <c r="F2210" i="2"/>
  <c r="F2209" i="2" s="1"/>
  <c r="E2210" i="2"/>
  <c r="E2209" i="2" s="1"/>
  <c r="G2207" i="2"/>
  <c r="H2207" i="2" s="1"/>
  <c r="F2206" i="2"/>
  <c r="F2205" i="2" s="1"/>
  <c r="E2206" i="2"/>
  <c r="E2205" i="2" s="1"/>
  <c r="G2203" i="2"/>
  <c r="H2203" i="2" s="1"/>
  <c r="F2202" i="2"/>
  <c r="E2202" i="2"/>
  <c r="G2201" i="2"/>
  <c r="H2201" i="2" s="1"/>
  <c r="G2200" i="2"/>
  <c r="H2200" i="2" s="1"/>
  <c r="F2199" i="2"/>
  <c r="F2198" i="2" s="1"/>
  <c r="E2199" i="2"/>
  <c r="E2198" i="2" s="1"/>
  <c r="G2196" i="2"/>
  <c r="H2196" i="2" s="1"/>
  <c r="F2195" i="2"/>
  <c r="F2194" i="2" s="1"/>
  <c r="E2195" i="2"/>
  <c r="E2194" i="2" s="1"/>
  <c r="H2193" i="2"/>
  <c r="G2192" i="2"/>
  <c r="H2192" i="2" s="1"/>
  <c r="F2191" i="2"/>
  <c r="F2190" i="2" s="1"/>
  <c r="G2190" i="2" s="1"/>
  <c r="H2190" i="2" s="1"/>
  <c r="E2191" i="2"/>
  <c r="G2188" i="2"/>
  <c r="H2188" i="2" s="1"/>
  <c r="F2187" i="2"/>
  <c r="E2187" i="2"/>
  <c r="G2186" i="2"/>
  <c r="H2186" i="2" s="1"/>
  <c r="G2185" i="2"/>
  <c r="H2185" i="2" s="1"/>
  <c r="G2184" i="2"/>
  <c r="H2184" i="2" s="1"/>
  <c r="G2183" i="2"/>
  <c r="H2183" i="2" s="1"/>
  <c r="F2182" i="2"/>
  <c r="E2182" i="2"/>
  <c r="G2179" i="2"/>
  <c r="H2179" i="2" s="1"/>
  <c r="F2178" i="2"/>
  <c r="F2177" i="2" s="1"/>
  <c r="E2178" i="2"/>
  <c r="E2177" i="2" s="1"/>
  <c r="G2175" i="2"/>
  <c r="H2175" i="2" s="1"/>
  <c r="G2174" i="2"/>
  <c r="H2174" i="2" s="1"/>
  <c r="F2173" i="2"/>
  <c r="E2173" i="2"/>
  <c r="G2172" i="2"/>
  <c r="H2172" i="2" s="1"/>
  <c r="G2171" i="2"/>
  <c r="H2171" i="2" s="1"/>
  <c r="G2170" i="2"/>
  <c r="H2170" i="2" s="1"/>
  <c r="F2169" i="2"/>
  <c r="E2169" i="2"/>
  <c r="G2168" i="2"/>
  <c r="H2168" i="2" s="1"/>
  <c r="F2167" i="2"/>
  <c r="E2167" i="2"/>
  <c r="G2166" i="2"/>
  <c r="H2166" i="2" s="1"/>
  <c r="F2165" i="2"/>
  <c r="E2165" i="2"/>
  <c r="H2163" i="2"/>
  <c r="G2162" i="2"/>
  <c r="H2162" i="2" s="1"/>
  <c r="G2161" i="2"/>
  <c r="H2161" i="2" s="1"/>
  <c r="G2160" i="2"/>
  <c r="H2160" i="2" s="1"/>
  <c r="G2159" i="2"/>
  <c r="H2159" i="2" s="1"/>
  <c r="F2158" i="2"/>
  <c r="F2157" i="2" s="1"/>
  <c r="E2158" i="2"/>
  <c r="E2157" i="2" s="1"/>
  <c r="H2156" i="2"/>
  <c r="G2155" i="2"/>
  <c r="H2155" i="2" s="1"/>
  <c r="F2154" i="2"/>
  <c r="E2154" i="2"/>
  <c r="G2153" i="2"/>
  <c r="H2153" i="2" s="1"/>
  <c r="F2152" i="2"/>
  <c r="E2152" i="2"/>
  <c r="G2151" i="2"/>
  <c r="H2151" i="2" s="1"/>
  <c r="F2150" i="2"/>
  <c r="E2150" i="2"/>
  <c r="H2148" i="2"/>
  <c r="G2147" i="2"/>
  <c r="H2147" i="2" s="1"/>
  <c r="F2146" i="2"/>
  <c r="F2145" i="2" s="1"/>
  <c r="E2146" i="2"/>
  <c r="E2145" i="2" s="1"/>
  <c r="H2144" i="2"/>
  <c r="G2143" i="2"/>
  <c r="H2143" i="2" s="1"/>
  <c r="F2142" i="2"/>
  <c r="E2142" i="2"/>
  <c r="G2141" i="2"/>
  <c r="H2141" i="2" s="1"/>
  <c r="F2140" i="2"/>
  <c r="E2140" i="2"/>
  <c r="H2138" i="2"/>
  <c r="G2137" i="2"/>
  <c r="H2137" i="2" s="1"/>
  <c r="G2136" i="2"/>
  <c r="H2136" i="2" s="1"/>
  <c r="F2135" i="2"/>
  <c r="E2135" i="2"/>
  <c r="G2134" i="2"/>
  <c r="H2134" i="2" s="1"/>
  <c r="F2133" i="2"/>
  <c r="E2133" i="2"/>
  <c r="H2131" i="2"/>
  <c r="G2130" i="2"/>
  <c r="H2130" i="2" s="1"/>
  <c r="F2129" i="2"/>
  <c r="F2128" i="2" s="1"/>
  <c r="E2129" i="2"/>
  <c r="E2128" i="2" s="1"/>
  <c r="G2126" i="2"/>
  <c r="H2126" i="2" s="1"/>
  <c r="F2125" i="2"/>
  <c r="E2125" i="2"/>
  <c r="G2124" i="2"/>
  <c r="H2124" i="2" s="1"/>
  <c r="F2123" i="2"/>
  <c r="E2123" i="2"/>
  <c r="G2122" i="2"/>
  <c r="H2122" i="2" s="1"/>
  <c r="G2121" i="2"/>
  <c r="H2121" i="2" s="1"/>
  <c r="F2120" i="2"/>
  <c r="E2120" i="2"/>
  <c r="G2119" i="2"/>
  <c r="H2119" i="2" s="1"/>
  <c r="F2118" i="2"/>
  <c r="E2118" i="2"/>
  <c r="G2117" i="2"/>
  <c r="H2117" i="2" s="1"/>
  <c r="G2116" i="2"/>
  <c r="H2116" i="2" s="1"/>
  <c r="F2115" i="2"/>
  <c r="E2115" i="2"/>
  <c r="G2114" i="2"/>
  <c r="H2114" i="2" s="1"/>
  <c r="G2113" i="2"/>
  <c r="H2113" i="2" s="1"/>
  <c r="G2112" i="2"/>
  <c r="H2112" i="2" s="1"/>
  <c r="F2111" i="2"/>
  <c r="E2111" i="2"/>
  <c r="G2110" i="2"/>
  <c r="H2110" i="2" s="1"/>
  <c r="F2109" i="2"/>
  <c r="E2109" i="2"/>
  <c r="G2108" i="2"/>
  <c r="H2108" i="2" s="1"/>
  <c r="F2107" i="2"/>
  <c r="E2107" i="2"/>
  <c r="G2106" i="2"/>
  <c r="H2106" i="2" s="1"/>
  <c r="G2105" i="2"/>
  <c r="H2105" i="2" s="1"/>
  <c r="G2104" i="2"/>
  <c r="H2104" i="2" s="1"/>
  <c r="F2103" i="2"/>
  <c r="E2103" i="2"/>
  <c r="G2102" i="2"/>
  <c r="H2102" i="2" s="1"/>
  <c r="G2101" i="2"/>
  <c r="H2101" i="2" s="1"/>
  <c r="G2100" i="2"/>
  <c r="H2100" i="2" s="1"/>
  <c r="F2099" i="2"/>
  <c r="E2099" i="2"/>
  <c r="G2098" i="2"/>
  <c r="H2098" i="2" s="1"/>
  <c r="F2097" i="2"/>
  <c r="E2097" i="2"/>
  <c r="H2095" i="2"/>
  <c r="G2094" i="2"/>
  <c r="H2094" i="2" s="1"/>
  <c r="F2093" i="2"/>
  <c r="E2093" i="2"/>
  <c r="G2092" i="2"/>
  <c r="H2092" i="2" s="1"/>
  <c r="G2091" i="2"/>
  <c r="H2091" i="2" s="1"/>
  <c r="G2090" i="2"/>
  <c r="H2090" i="2" s="1"/>
  <c r="G2089" i="2"/>
  <c r="H2089" i="2" s="1"/>
  <c r="F2088" i="2"/>
  <c r="E2088" i="2"/>
  <c r="G2087" i="2"/>
  <c r="H2087" i="2" s="1"/>
  <c r="G2086" i="2"/>
  <c r="H2086" i="2" s="1"/>
  <c r="G2085" i="2"/>
  <c r="H2085" i="2" s="1"/>
  <c r="G2084" i="2"/>
  <c r="H2084" i="2" s="1"/>
  <c r="F2083" i="2"/>
  <c r="E2083" i="2"/>
  <c r="G2082" i="2"/>
  <c r="H2082" i="2" s="1"/>
  <c r="G2081" i="2"/>
  <c r="H2081" i="2" s="1"/>
  <c r="G2080" i="2"/>
  <c r="H2080" i="2" s="1"/>
  <c r="G2079" i="2"/>
  <c r="H2079" i="2" s="1"/>
  <c r="F2078" i="2"/>
  <c r="E2078" i="2"/>
  <c r="G2077" i="2"/>
  <c r="H2077" i="2" s="1"/>
  <c r="G2076" i="2"/>
  <c r="H2076" i="2" s="1"/>
  <c r="G2075" i="2"/>
  <c r="H2075" i="2" s="1"/>
  <c r="F2074" i="2"/>
  <c r="E2074" i="2"/>
  <c r="G2073" i="2"/>
  <c r="H2073" i="2" s="1"/>
  <c r="G2072" i="2"/>
  <c r="H2072" i="2" s="1"/>
  <c r="G2071" i="2"/>
  <c r="H2071" i="2" s="1"/>
  <c r="G2070" i="2"/>
  <c r="H2070" i="2" s="1"/>
  <c r="G2069" i="2"/>
  <c r="H2069" i="2" s="1"/>
  <c r="G2068" i="2"/>
  <c r="H2068" i="2" s="1"/>
  <c r="G2067" i="2"/>
  <c r="H2067" i="2" s="1"/>
  <c r="G2066" i="2"/>
  <c r="H2066" i="2" s="1"/>
  <c r="G2065" i="2"/>
  <c r="H2065" i="2" s="1"/>
  <c r="G2064" i="2"/>
  <c r="H2064" i="2" s="1"/>
  <c r="G2063" i="2"/>
  <c r="H2063" i="2" s="1"/>
  <c r="G2062" i="2"/>
  <c r="H2062" i="2" s="1"/>
  <c r="G2061" i="2"/>
  <c r="H2061" i="2" s="1"/>
  <c r="G2060" i="2"/>
  <c r="H2060" i="2" s="1"/>
  <c r="G2059" i="2"/>
  <c r="H2059" i="2" s="1"/>
  <c r="F2058" i="2"/>
  <c r="E2058" i="2"/>
  <c r="G2057" i="2"/>
  <c r="H2057" i="2" s="1"/>
  <c r="G2056" i="2"/>
  <c r="H2056" i="2" s="1"/>
  <c r="G2055" i="2"/>
  <c r="H2055" i="2" s="1"/>
  <c r="G2054" i="2"/>
  <c r="H2054" i="2" s="1"/>
  <c r="G2053" i="2"/>
  <c r="H2053" i="2" s="1"/>
  <c r="G2052" i="2"/>
  <c r="H2052" i="2" s="1"/>
  <c r="G2051" i="2"/>
  <c r="H2051" i="2" s="1"/>
  <c r="G2050" i="2"/>
  <c r="H2050" i="2" s="1"/>
  <c r="G2049" i="2"/>
  <c r="H2049" i="2" s="1"/>
  <c r="G2048" i="2"/>
  <c r="H2048" i="2" s="1"/>
  <c r="G2047" i="2"/>
  <c r="H2047" i="2" s="1"/>
  <c r="F2046" i="2"/>
  <c r="E2046" i="2"/>
  <c r="G2042" i="2"/>
  <c r="F2041" i="2"/>
  <c r="E2041" i="2"/>
  <c r="E2040" i="2" s="1"/>
  <c r="G2038" i="2"/>
  <c r="H2037" i="2"/>
  <c r="F2037" i="2"/>
  <c r="E2037" i="2"/>
  <c r="G2036" i="2"/>
  <c r="G2035" i="2"/>
  <c r="G2034" i="2"/>
  <c r="H2034" i="2" s="1"/>
  <c r="G2033" i="2"/>
  <c r="H2033" i="2" s="1"/>
  <c r="G2032" i="2"/>
  <c r="H2032" i="2" s="1"/>
  <c r="G2031" i="2"/>
  <c r="F2030" i="2"/>
  <c r="E2030" i="2"/>
  <c r="G2029" i="2"/>
  <c r="H2029" i="2" s="1"/>
  <c r="H2028" i="2" s="1"/>
  <c r="F2028" i="2"/>
  <c r="E2028" i="2"/>
  <c r="G2025" i="2"/>
  <c r="G2024" i="2"/>
  <c r="G2023" i="2"/>
  <c r="H2023" i="2" s="1"/>
  <c r="G2022" i="2"/>
  <c r="H2022" i="2" s="1"/>
  <c r="G2021" i="2"/>
  <c r="H2021" i="2" s="1"/>
  <c r="F2020" i="2"/>
  <c r="F2019" i="2" s="1"/>
  <c r="E2020" i="2"/>
  <c r="E2019" i="2" s="1"/>
  <c r="G2017" i="2"/>
  <c r="H2017" i="2" s="1"/>
  <c r="H2016" i="2" s="1"/>
  <c r="F2016" i="2"/>
  <c r="E2016" i="2"/>
  <c r="G2015" i="2"/>
  <c r="G2014" i="2"/>
  <c r="G2013" i="2"/>
  <c r="G2012" i="2"/>
  <c r="H2011" i="2"/>
  <c r="F2011" i="2"/>
  <c r="E2011" i="2"/>
  <c r="G2010" i="2"/>
  <c r="H2010" i="2" s="1"/>
  <c r="H2009" i="2" s="1"/>
  <c r="F2009" i="2"/>
  <c r="E2009" i="2"/>
  <c r="G2008" i="2"/>
  <c r="G2007" i="2"/>
  <c r="H2007" i="2" s="1"/>
  <c r="H2005" i="2" s="1"/>
  <c r="G2006" i="2"/>
  <c r="F2005" i="2"/>
  <c r="E2005" i="2"/>
  <c r="G2004" i="2"/>
  <c r="G2003" i="2"/>
  <c r="H2002" i="2"/>
  <c r="F2002" i="2"/>
  <c r="E2002" i="2"/>
  <c r="G2001" i="2"/>
  <c r="H2000" i="2"/>
  <c r="F2000" i="2"/>
  <c r="E2000" i="2"/>
  <c r="G1999" i="2"/>
  <c r="G1998" i="2"/>
  <c r="H1998" i="2" s="1"/>
  <c r="G1997" i="2"/>
  <c r="H1997" i="2" s="1"/>
  <c r="G1996" i="2"/>
  <c r="H1996" i="2" s="1"/>
  <c r="G1995" i="2"/>
  <c r="G1994" i="2"/>
  <c r="F1993" i="2"/>
  <c r="E1993" i="2"/>
  <c r="G1992" i="2"/>
  <c r="H1992" i="2" s="1"/>
  <c r="G1991" i="2"/>
  <c r="H1991" i="2" s="1"/>
  <c r="F1990" i="2"/>
  <c r="E1990" i="2"/>
  <c r="G1987" i="2"/>
  <c r="H1987" i="2" s="1"/>
  <c r="H1986" i="2" s="1"/>
  <c r="F1986" i="2"/>
  <c r="E1986" i="2"/>
  <c r="G1985" i="2"/>
  <c r="H1985" i="2" s="1"/>
  <c r="G1984" i="2"/>
  <c r="H1984" i="2" s="1"/>
  <c r="G1983" i="2"/>
  <c r="H1983" i="2" s="1"/>
  <c r="F1982" i="2"/>
  <c r="E1982" i="2"/>
  <c r="G1979" i="2"/>
  <c r="H1979" i="2" s="1"/>
  <c r="G1978" i="2"/>
  <c r="H1978" i="2" s="1"/>
  <c r="F1977" i="2"/>
  <c r="F1976" i="2" s="1"/>
  <c r="E1977" i="2"/>
  <c r="E1976" i="2" s="1"/>
  <c r="G1974" i="2"/>
  <c r="H1974" i="2" s="1"/>
  <c r="G1973" i="2"/>
  <c r="H1973" i="2" s="1"/>
  <c r="G1972" i="2"/>
  <c r="G1971" i="2"/>
  <c r="H1971" i="2" s="1"/>
  <c r="G1970" i="2"/>
  <c r="H1970" i="2" s="1"/>
  <c r="G1969" i="2"/>
  <c r="H1969" i="2" s="1"/>
  <c r="G1968" i="2"/>
  <c r="G1967" i="2"/>
  <c r="H1967" i="2" s="1"/>
  <c r="F1966" i="2"/>
  <c r="E1966" i="2"/>
  <c r="G1965" i="2"/>
  <c r="H1964" i="2"/>
  <c r="F1964" i="2"/>
  <c r="E1964" i="2"/>
  <c r="G1963" i="2"/>
  <c r="G1962" i="2"/>
  <c r="H1962" i="2" s="1"/>
  <c r="H1961" i="2" s="1"/>
  <c r="F1961" i="2"/>
  <c r="E1961" i="2"/>
  <c r="G1958" i="2"/>
  <c r="H1958" i="2" s="1"/>
  <c r="G1957" i="2"/>
  <c r="H1957" i="2" s="1"/>
  <c r="G1956" i="2"/>
  <c r="H1956" i="2" s="1"/>
  <c r="G1955" i="2"/>
  <c r="H1955" i="2" s="1"/>
  <c r="F1954" i="2"/>
  <c r="F1953" i="2" s="1"/>
  <c r="E1954" i="2"/>
  <c r="E1953" i="2" s="1"/>
  <c r="G1951" i="2"/>
  <c r="H1950" i="2"/>
  <c r="H1949" i="2" s="1"/>
  <c r="F1950" i="2"/>
  <c r="E1950" i="2"/>
  <c r="E1949" i="2" s="1"/>
  <c r="G1947" i="2"/>
  <c r="G1946" i="2"/>
  <c r="H1945" i="2"/>
  <c r="H1944" i="2" s="1"/>
  <c r="F1945" i="2"/>
  <c r="E1945" i="2"/>
  <c r="E1944" i="2" s="1"/>
  <c r="G1942" i="2"/>
  <c r="H1942" i="2" s="1"/>
  <c r="G1941" i="2"/>
  <c r="H1941" i="2" s="1"/>
  <c r="G1940" i="2"/>
  <c r="H1940" i="2" s="1"/>
  <c r="G1939" i="2"/>
  <c r="H1939" i="2" s="1"/>
  <c r="F1938" i="2"/>
  <c r="F1937" i="2" s="1"/>
  <c r="E1938" i="2"/>
  <c r="E1937" i="2" s="1"/>
  <c r="G1935" i="2"/>
  <c r="H1935" i="2" s="1"/>
  <c r="H1934" i="2" s="1"/>
  <c r="H1933" i="2" s="1"/>
  <c r="F1934" i="2"/>
  <c r="E1934" i="2"/>
  <c r="E1933" i="2" s="1"/>
  <c r="G1931" i="2"/>
  <c r="H1930" i="2"/>
  <c r="F1930" i="2"/>
  <c r="E1930" i="2"/>
  <c r="G1929" i="2"/>
  <c r="H1928" i="2"/>
  <c r="F1928" i="2"/>
  <c r="E1928" i="2"/>
  <c r="G1927" i="2"/>
  <c r="H1927" i="2" s="1"/>
  <c r="H1926" i="2" s="1"/>
  <c r="F1926" i="2"/>
  <c r="E1926" i="2"/>
  <c r="G1923" i="2"/>
  <c r="H1923" i="2" s="1"/>
  <c r="G1922" i="2"/>
  <c r="H1922" i="2" s="1"/>
  <c r="G1921" i="2"/>
  <c r="H1921" i="2" s="1"/>
  <c r="G1920" i="2"/>
  <c r="H1920" i="2" s="1"/>
  <c r="F1919" i="2"/>
  <c r="E1919" i="2"/>
  <c r="G1918" i="2"/>
  <c r="H1918" i="2" s="1"/>
  <c r="H1917" i="2" s="1"/>
  <c r="F1917" i="2"/>
  <c r="E1917" i="2"/>
  <c r="G1914" i="2"/>
  <c r="H1913" i="2"/>
  <c r="H1912" i="2" s="1"/>
  <c r="F1913" i="2"/>
  <c r="F1912" i="2" s="1"/>
  <c r="E1913" i="2"/>
  <c r="G1910" i="2"/>
  <c r="H1910" i="2" s="1"/>
  <c r="H1909" i="2" s="1"/>
  <c r="F1909" i="2"/>
  <c r="E1909" i="2"/>
  <c r="G1908" i="2"/>
  <c r="H1908" i="2" s="1"/>
  <c r="H1907" i="2" s="1"/>
  <c r="F1907" i="2"/>
  <c r="E1907" i="2"/>
  <c r="G1904" i="2"/>
  <c r="H1904" i="2" s="1"/>
  <c r="G1903" i="2"/>
  <c r="H1903" i="2" s="1"/>
  <c r="G1902" i="2"/>
  <c r="G1901" i="2"/>
  <c r="H1901" i="2" s="1"/>
  <c r="F1900" i="2"/>
  <c r="E1900" i="2"/>
  <c r="G1899" i="2"/>
  <c r="H1899" i="2" s="1"/>
  <c r="H1898" i="2" s="1"/>
  <c r="F1898" i="2"/>
  <c r="E1898" i="2"/>
  <c r="G1897" i="2"/>
  <c r="H1897" i="2" s="1"/>
  <c r="G1896" i="2"/>
  <c r="H1896" i="2" s="1"/>
  <c r="G1895" i="2"/>
  <c r="H1895" i="2" s="1"/>
  <c r="G1894" i="2"/>
  <c r="H1894" i="2" s="1"/>
  <c r="G1893" i="2"/>
  <c r="H1893" i="2" s="1"/>
  <c r="G1892" i="2"/>
  <c r="H1892" i="2" s="1"/>
  <c r="F1891" i="2"/>
  <c r="E1891" i="2"/>
  <c r="G1890" i="2"/>
  <c r="H1889" i="2"/>
  <c r="F1889" i="2"/>
  <c r="E1889" i="2"/>
  <c r="G1888" i="2"/>
  <c r="H1888" i="2" s="1"/>
  <c r="G1887" i="2"/>
  <c r="H1887" i="2" s="1"/>
  <c r="G1886" i="2"/>
  <c r="H1886" i="2" s="1"/>
  <c r="G1885" i="2"/>
  <c r="H1885" i="2" s="1"/>
  <c r="G1884" i="2"/>
  <c r="H1884" i="2" s="1"/>
  <c r="G1883" i="2"/>
  <c r="H1883" i="2" s="1"/>
  <c r="G1882" i="2"/>
  <c r="H1882" i="2" s="1"/>
  <c r="G1881" i="2"/>
  <c r="H1881" i="2" s="1"/>
  <c r="G1880" i="2"/>
  <c r="H1880" i="2" s="1"/>
  <c r="G1879" i="2"/>
  <c r="H1879" i="2" s="1"/>
  <c r="G1878" i="2"/>
  <c r="H1878" i="2" s="1"/>
  <c r="G1877" i="2"/>
  <c r="H1877" i="2" s="1"/>
  <c r="G1876" i="2"/>
  <c r="H1876" i="2" s="1"/>
  <c r="F1875" i="2"/>
  <c r="E1875" i="2"/>
  <c r="G1874" i="2"/>
  <c r="H1874" i="2" s="1"/>
  <c r="G1873" i="2"/>
  <c r="H1873" i="2" s="1"/>
  <c r="H1872" i="2" s="1"/>
  <c r="F1872" i="2"/>
  <c r="E1872" i="2"/>
  <c r="G1871" i="2"/>
  <c r="H1871" i="2" s="1"/>
  <c r="G1870" i="2"/>
  <c r="H1870" i="2" s="1"/>
  <c r="G1869" i="2"/>
  <c r="H1869" i="2" s="1"/>
  <c r="G1868" i="2"/>
  <c r="H1868" i="2" s="1"/>
  <c r="F1867" i="2"/>
  <c r="E1867" i="2"/>
  <c r="G1866" i="2"/>
  <c r="H1866" i="2" s="1"/>
  <c r="G1865" i="2"/>
  <c r="H1865" i="2" s="1"/>
  <c r="G1864" i="2"/>
  <c r="H1864" i="2" s="1"/>
  <c r="G1863" i="2"/>
  <c r="H1863" i="2" s="1"/>
  <c r="F1862" i="2"/>
  <c r="E1862" i="2"/>
  <c r="G1861" i="2"/>
  <c r="H1861" i="2" s="1"/>
  <c r="H1860" i="2" s="1"/>
  <c r="F1860" i="2"/>
  <c r="E1860" i="2"/>
  <c r="G1859" i="2"/>
  <c r="H1859" i="2" s="1"/>
  <c r="G1858" i="2"/>
  <c r="G1857" i="2"/>
  <c r="H1857" i="2" s="1"/>
  <c r="G1856" i="2"/>
  <c r="H1856" i="2" s="1"/>
  <c r="G1855" i="2"/>
  <c r="H1855" i="2" s="1"/>
  <c r="G1854" i="2"/>
  <c r="H1854" i="2" s="1"/>
  <c r="F1853" i="2"/>
  <c r="E1853" i="2"/>
  <c r="G1852" i="2"/>
  <c r="H1852" i="2" s="1"/>
  <c r="G1851" i="2"/>
  <c r="H1851" i="2" s="1"/>
  <c r="G1850" i="2"/>
  <c r="H1850" i="2" s="1"/>
  <c r="G1849" i="2"/>
  <c r="H1849" i="2" s="1"/>
  <c r="G1848" i="2"/>
  <c r="F1847" i="2"/>
  <c r="E1847" i="2"/>
  <c r="G1844" i="2"/>
  <c r="H1844" i="2" s="1"/>
  <c r="G1843" i="2"/>
  <c r="G1842" i="2"/>
  <c r="G1841" i="2"/>
  <c r="H1841" i="2" s="1"/>
  <c r="G1840" i="2"/>
  <c r="F1839" i="2"/>
  <c r="E1839" i="2"/>
  <c r="G1838" i="2"/>
  <c r="H1838" i="2" s="1"/>
  <c r="G1837" i="2"/>
  <c r="G1836" i="2"/>
  <c r="H1836" i="2" s="1"/>
  <c r="G1835" i="2"/>
  <c r="H1835" i="2" s="1"/>
  <c r="G1834" i="2"/>
  <c r="H1834" i="2" s="1"/>
  <c r="G1833" i="2"/>
  <c r="H1833" i="2" s="1"/>
  <c r="G1832" i="2"/>
  <c r="H1832" i="2" s="1"/>
  <c r="F1831" i="2"/>
  <c r="E1831" i="2"/>
  <c r="G1828" i="2"/>
  <c r="H1828" i="2" s="1"/>
  <c r="G1827" i="2"/>
  <c r="H1827" i="2" s="1"/>
  <c r="G1826" i="2"/>
  <c r="H1826" i="2" s="1"/>
  <c r="G1825" i="2"/>
  <c r="H1825" i="2" s="1"/>
  <c r="G1824" i="2"/>
  <c r="H1824" i="2" s="1"/>
  <c r="F1823" i="2"/>
  <c r="E1823" i="2"/>
  <c r="G1822" i="2"/>
  <c r="H1822" i="2" s="1"/>
  <c r="H1821" i="2" s="1"/>
  <c r="F1821" i="2"/>
  <c r="E1821" i="2"/>
  <c r="G1820" i="2"/>
  <c r="H1819" i="2"/>
  <c r="F1819" i="2"/>
  <c r="E1819" i="2"/>
  <c r="G1818" i="2"/>
  <c r="H1818" i="2" s="1"/>
  <c r="G1817" i="2"/>
  <c r="H1817" i="2" s="1"/>
  <c r="G1816" i="2"/>
  <c r="H1816" i="2" s="1"/>
  <c r="G1815" i="2"/>
  <c r="H1815" i="2" s="1"/>
  <c r="G1814" i="2"/>
  <c r="H1814" i="2" s="1"/>
  <c r="G1813" i="2"/>
  <c r="H1813" i="2" s="1"/>
  <c r="G1812" i="2"/>
  <c r="H1812" i="2" s="1"/>
  <c r="G1811" i="2"/>
  <c r="H1811" i="2" s="1"/>
  <c r="G1810" i="2"/>
  <c r="H1810" i="2" s="1"/>
  <c r="F1809" i="2"/>
  <c r="E1809" i="2"/>
  <c r="G1808" i="2"/>
  <c r="H1808" i="2" s="1"/>
  <c r="G1807" i="2"/>
  <c r="H1807" i="2" s="1"/>
  <c r="G1806" i="2"/>
  <c r="H1806" i="2" s="1"/>
  <c r="F1805" i="2"/>
  <c r="E1805" i="2"/>
  <c r="G1801" i="2"/>
  <c r="F1800" i="2"/>
  <c r="F1799" i="2" s="1"/>
  <c r="E1800" i="2"/>
  <c r="E1799" i="2" s="1"/>
  <c r="G1797" i="2"/>
  <c r="G1796" i="2"/>
  <c r="G1795" i="2"/>
  <c r="F1794" i="2"/>
  <c r="E1794" i="2"/>
  <c r="G1791" i="2"/>
  <c r="F1790" i="2"/>
  <c r="E1790" i="2"/>
  <c r="G1789" i="2"/>
  <c r="F1788" i="2"/>
  <c r="E1788" i="2"/>
  <c r="G1785" i="2"/>
  <c r="F1784" i="2"/>
  <c r="F1783" i="2" s="1"/>
  <c r="E1784" i="2"/>
  <c r="E1783" i="2" s="1"/>
  <c r="G1781" i="2"/>
  <c r="G1780" i="2"/>
  <c r="F1778" i="2"/>
  <c r="E1778" i="2"/>
  <c r="G1776" i="2"/>
  <c r="F1775" i="2"/>
  <c r="E1775" i="2"/>
  <c r="G1774" i="2"/>
  <c r="F1773" i="2"/>
  <c r="E1773" i="2"/>
  <c r="G1772" i="2"/>
  <c r="F1771" i="2"/>
  <c r="E1771" i="2"/>
  <c r="G1770" i="2"/>
  <c r="F1769" i="2"/>
  <c r="E1769" i="2"/>
  <c r="G1768" i="2"/>
  <c r="F1767" i="2"/>
  <c r="E1767" i="2"/>
  <c r="G1764" i="2"/>
  <c r="G1763" i="2"/>
  <c r="F1762" i="2"/>
  <c r="E1762" i="2"/>
  <c r="G1761" i="2"/>
  <c r="G1760" i="2"/>
  <c r="F1759" i="2"/>
  <c r="E1759" i="2"/>
  <c r="G1755" i="2"/>
  <c r="G1754" i="2"/>
  <c r="F1753" i="2"/>
  <c r="E1753" i="2"/>
  <c r="E1752" i="2" s="1"/>
  <c r="G1750" i="2"/>
  <c r="G1749" i="2"/>
  <c r="G1748" i="2"/>
  <c r="F1747" i="2"/>
  <c r="E1747" i="2"/>
  <c r="E1746" i="2" s="1"/>
  <c r="G1744" i="2"/>
  <c r="F1743" i="2"/>
  <c r="F1742" i="2" s="1"/>
  <c r="E1743" i="2"/>
  <c r="E1742" i="2" s="1"/>
  <c r="G1740" i="2"/>
  <c r="F1739" i="2"/>
  <c r="E1739" i="2"/>
  <c r="E1738" i="2" s="1"/>
  <c r="G1736" i="2"/>
  <c r="F1735" i="2"/>
  <c r="F1734" i="2" s="1"/>
  <c r="E1735" i="2"/>
  <c r="E1734" i="2" s="1"/>
  <c r="G1732" i="2"/>
  <c r="G1731" i="2"/>
  <c r="F1730" i="2"/>
  <c r="E1730" i="2"/>
  <c r="G1729" i="2"/>
  <c r="G1728" i="2"/>
  <c r="F1727" i="2"/>
  <c r="E1727" i="2"/>
  <c r="G1726" i="2"/>
  <c r="F1725" i="2"/>
  <c r="E1725" i="2"/>
  <c r="G1722" i="2"/>
  <c r="G1721" i="2"/>
  <c r="F1720" i="2"/>
  <c r="E1720" i="2"/>
  <c r="G1719" i="2"/>
  <c r="F1718" i="2"/>
  <c r="E1718" i="2"/>
  <c r="G1717" i="2"/>
  <c r="F1716" i="2"/>
  <c r="E1716" i="2"/>
  <c r="G1713" i="2"/>
  <c r="F1712" i="2"/>
  <c r="E1712" i="2"/>
  <c r="G1711" i="2"/>
  <c r="F1710" i="2"/>
  <c r="E1710" i="2"/>
  <c r="G1709" i="2"/>
  <c r="F1708" i="2"/>
  <c r="E1708" i="2"/>
  <c r="G1707" i="2"/>
  <c r="G1706" i="2"/>
  <c r="G1705" i="2"/>
  <c r="G1704" i="2"/>
  <c r="G1703" i="2"/>
  <c r="F1702" i="2"/>
  <c r="E1702" i="2"/>
  <c r="G1701" i="2"/>
  <c r="G1700" i="2"/>
  <c r="F1699" i="2"/>
  <c r="E1699" i="2"/>
  <c r="G1698" i="2"/>
  <c r="G1697" i="2"/>
  <c r="G1696" i="2"/>
  <c r="F1695" i="2"/>
  <c r="E1695" i="2"/>
  <c r="G1692" i="2"/>
  <c r="F1691" i="2"/>
  <c r="E1691" i="2"/>
  <c r="G1690" i="2"/>
  <c r="F1689" i="2"/>
  <c r="E1689" i="2"/>
  <c r="G1688" i="2"/>
  <c r="G1687" i="2"/>
  <c r="G1686" i="2"/>
  <c r="G1685" i="2"/>
  <c r="G1684" i="2"/>
  <c r="G1683" i="2"/>
  <c r="F1682" i="2"/>
  <c r="E1682" i="2"/>
  <c r="G1680" i="2"/>
  <c r="F1679" i="2"/>
  <c r="E1679" i="2"/>
  <c r="G1678" i="2"/>
  <c r="F1677" i="2"/>
  <c r="E1677" i="2"/>
  <c r="F1672" i="2"/>
  <c r="F1671" i="2" s="1"/>
  <c r="E1672" i="2"/>
  <c r="E1671" i="2" s="1"/>
  <c r="G1669" i="2"/>
  <c r="F1667" i="2"/>
  <c r="E1667" i="2"/>
  <c r="G1665" i="2"/>
  <c r="F1664" i="2"/>
  <c r="E1664" i="2"/>
  <c r="G1662" i="2"/>
  <c r="F1661" i="2"/>
  <c r="E1661" i="2"/>
  <c r="G1660" i="2"/>
  <c r="G1659" i="2"/>
  <c r="F1658" i="2"/>
  <c r="E1658" i="2"/>
  <c r="G1657" i="2"/>
  <c r="G1656" i="2"/>
  <c r="F1655" i="2"/>
  <c r="E1655" i="2"/>
  <c r="E1654" i="2" s="1"/>
  <c r="G1652" i="2"/>
  <c r="G1651" i="2"/>
  <c r="F1650" i="2"/>
  <c r="E1650" i="2"/>
  <c r="G1649" i="2"/>
  <c r="F1648" i="2"/>
  <c r="E1648" i="2"/>
  <c r="G1647" i="2"/>
  <c r="G1646" i="2"/>
  <c r="G1645" i="2"/>
  <c r="G1644" i="2"/>
  <c r="G1643" i="2"/>
  <c r="G1642" i="2"/>
  <c r="G1641" i="2"/>
  <c r="F1640" i="2"/>
  <c r="E1640" i="2"/>
  <c r="G1639" i="2"/>
  <c r="F1638" i="2"/>
  <c r="E1638" i="2"/>
  <c r="G1637" i="2"/>
  <c r="G1636" i="2"/>
  <c r="F1635" i="2"/>
  <c r="E1635" i="2"/>
  <c r="G1634" i="2"/>
  <c r="G1633" i="2"/>
  <c r="G1632" i="2"/>
  <c r="F1631" i="2"/>
  <c r="E1631" i="2"/>
  <c r="G1630" i="2"/>
  <c r="F1629" i="2"/>
  <c r="E1629" i="2"/>
  <c r="G1628" i="2"/>
  <c r="F1627" i="2"/>
  <c r="E1627" i="2"/>
  <c r="G1626" i="2"/>
  <c r="G1625" i="2"/>
  <c r="G1624" i="2"/>
  <c r="G1623" i="2"/>
  <c r="G1622" i="2"/>
  <c r="F1621" i="2"/>
  <c r="E1621" i="2"/>
  <c r="G1620" i="2"/>
  <c r="G1619" i="2"/>
  <c r="F1618" i="2"/>
  <c r="E1618" i="2"/>
  <c r="G1615" i="2"/>
  <c r="F1614" i="2"/>
  <c r="E1614" i="2"/>
  <c r="G1613" i="2"/>
  <c r="G1612" i="2"/>
  <c r="G1611" i="2"/>
  <c r="G1610" i="2"/>
  <c r="F1609" i="2"/>
  <c r="E1609" i="2"/>
  <c r="G1606" i="2"/>
  <c r="F1605" i="2"/>
  <c r="E1605" i="2"/>
  <c r="G1604" i="2"/>
  <c r="F1603" i="2"/>
  <c r="E1603" i="2"/>
  <c r="G1602" i="2"/>
  <c r="G1601" i="2"/>
  <c r="G1600" i="2"/>
  <c r="G1599" i="2"/>
  <c r="G1598" i="2"/>
  <c r="G1597" i="2"/>
  <c r="F1596" i="2"/>
  <c r="E1596" i="2"/>
  <c r="G1595" i="2"/>
  <c r="G1594" i="2"/>
  <c r="G1593" i="2"/>
  <c r="G1592" i="2"/>
  <c r="G1591" i="2"/>
  <c r="F1590" i="2"/>
  <c r="E1590" i="2"/>
  <c r="G1589" i="2"/>
  <c r="G1588" i="2"/>
  <c r="G1587" i="2"/>
  <c r="G1586" i="2"/>
  <c r="G1585" i="2"/>
  <c r="G1584" i="2"/>
  <c r="F1583" i="2"/>
  <c r="E1583" i="2"/>
  <c r="G1579" i="2"/>
  <c r="G1578" i="2"/>
  <c r="G1577" i="2"/>
  <c r="G1576" i="2"/>
  <c r="H1575" i="2"/>
  <c r="H1574" i="2" s="1"/>
  <c r="G1575" i="2"/>
  <c r="G1574" i="2"/>
  <c r="G1573" i="2"/>
  <c r="H1571" i="2"/>
  <c r="H1570" i="2"/>
  <c r="H1569" i="2"/>
  <c r="H1568" i="2"/>
  <c r="H1567" i="2"/>
  <c r="H1566" i="2"/>
  <c r="H1565" i="2"/>
  <c r="H1564" i="2"/>
  <c r="H1563" i="2"/>
  <c r="H1562" i="2"/>
  <c r="H1561" i="2"/>
  <c r="H1560" i="2"/>
  <c r="H1559" i="2"/>
  <c r="H1558" i="2"/>
  <c r="H1557" i="2"/>
  <c r="H1555" i="2"/>
  <c r="H1554" i="2"/>
  <c r="H1553" i="2"/>
  <c r="H1552" i="2"/>
  <c r="H1551" i="2"/>
  <c r="H1550" i="2"/>
  <c r="H1549" i="2"/>
  <c r="H1548" i="2"/>
  <c r="H1546" i="2"/>
  <c r="H1545" i="2"/>
  <c r="H1544" i="2"/>
  <c r="H1543" i="2"/>
  <c r="H1542" i="2"/>
  <c r="H1541" i="2"/>
  <c r="G1539" i="2"/>
  <c r="G1538" i="2"/>
  <c r="H1537" i="2"/>
  <c r="G1537" i="2"/>
  <c r="G1536" i="2"/>
  <c r="H1535" i="2"/>
  <c r="G1535" i="2"/>
  <c r="E1534" i="2"/>
  <c r="G1532" i="2"/>
  <c r="G1531" i="2"/>
  <c r="H1530" i="2"/>
  <c r="G1530" i="2"/>
  <c r="G1529" i="2"/>
  <c r="H1528" i="2"/>
  <c r="G1528" i="2"/>
  <c r="G1527" i="2"/>
  <c r="F1526" i="2"/>
  <c r="G1524" i="2"/>
  <c r="H1523" i="2"/>
  <c r="G1523" i="2"/>
  <c r="G1522" i="2"/>
  <c r="H1521" i="2"/>
  <c r="G1521" i="2"/>
  <c r="G1520" i="2"/>
  <c r="H1519" i="2"/>
  <c r="G1519" i="2"/>
  <c r="G1518" i="2"/>
  <c r="H1517" i="2"/>
  <c r="G1517" i="2"/>
  <c r="G1516" i="2"/>
  <c r="G1515" i="2"/>
  <c r="H1512" i="2"/>
  <c r="H1509" i="2"/>
  <c r="G1505" i="2"/>
  <c r="H1504" i="2"/>
  <c r="G1504" i="2"/>
  <c r="G1503" i="2"/>
  <c r="G1502" i="2"/>
  <c r="H1501" i="2"/>
  <c r="H1500" i="2" s="1"/>
  <c r="H1499" i="2" s="1"/>
  <c r="G1501" i="2"/>
  <c r="G1500" i="2"/>
  <c r="G1499" i="2"/>
  <c r="H1495" i="2"/>
  <c r="H1493" i="2"/>
  <c r="H1492" i="2" s="1"/>
  <c r="H1491" i="2" s="1"/>
  <c r="G1489" i="2"/>
  <c r="G1488" i="2"/>
  <c r="H1487" i="2"/>
  <c r="G1487" i="2"/>
  <c r="G1486" i="2"/>
  <c r="G1485" i="2"/>
  <c r="H1484" i="2"/>
  <c r="G1484" i="2"/>
  <c r="G1483" i="2"/>
  <c r="G1482" i="2"/>
  <c r="H1478" i="2"/>
  <c r="H1475" i="2"/>
  <c r="H1473" i="2"/>
  <c r="E1472" i="2"/>
  <c r="H1467" i="2"/>
  <c r="H1466" i="2" s="1"/>
  <c r="H1465" i="2" s="1"/>
  <c r="H1461" i="2"/>
  <c r="H1460" i="2" s="1"/>
  <c r="H1459" i="2" s="1"/>
  <c r="F1451" i="2"/>
  <c r="E1451" i="2"/>
  <c r="G1447" i="2"/>
  <c r="G1446" i="2"/>
  <c r="H1445" i="2"/>
  <c r="G1445" i="2"/>
  <c r="G1444" i="2"/>
  <c r="G1443" i="2"/>
  <c r="G1442" i="2"/>
  <c r="H1441" i="2"/>
  <c r="G1441" i="2"/>
  <c r="G1440" i="2"/>
  <c r="H1439" i="2"/>
  <c r="G1439" i="2"/>
  <c r="F1438" i="2"/>
  <c r="E1438" i="2"/>
  <c r="G1437" i="2"/>
  <c r="H1432" i="2"/>
  <c r="H1431" i="2" s="1"/>
  <c r="H1430" i="2" s="1"/>
  <c r="E1432" i="2"/>
  <c r="H1427" i="2"/>
  <c r="F1422" i="2"/>
  <c r="E1422" i="2"/>
  <c r="G1419" i="2"/>
  <c r="H1418" i="2"/>
  <c r="H1417" i="2" s="1"/>
  <c r="H1416" i="2" s="1"/>
  <c r="G1414" i="2"/>
  <c r="G1413" i="2"/>
  <c r="G1412" i="2"/>
  <c r="H1411" i="2"/>
  <c r="H1410" i="2" s="1"/>
  <c r="H1409" i="2" s="1"/>
  <c r="F1411" i="2"/>
  <c r="E1411" i="2"/>
  <c r="G1410" i="2"/>
  <c r="G1409" i="2"/>
  <c r="H1406" i="2"/>
  <c r="H1405" i="2" s="1"/>
  <c r="G1403" i="2"/>
  <c r="H1402" i="2"/>
  <c r="G1402" i="2"/>
  <c r="G1401" i="2"/>
  <c r="H1400" i="2"/>
  <c r="G1400" i="2"/>
  <c r="G1399" i="2"/>
  <c r="G1398" i="2"/>
  <c r="G1397" i="2"/>
  <c r="G1396" i="2"/>
  <c r="H1395" i="2"/>
  <c r="G1395" i="2"/>
  <c r="G1394" i="2"/>
  <c r="G1393" i="2"/>
  <c r="G1392" i="2"/>
  <c r="H1391" i="2"/>
  <c r="G1391" i="2"/>
  <c r="G1390" i="2"/>
  <c r="G1389" i="2"/>
  <c r="G1388" i="2"/>
  <c r="H1387" i="2"/>
  <c r="G1387" i="2"/>
  <c r="G1386" i="2"/>
  <c r="G1385" i="2"/>
  <c r="G1384" i="2"/>
  <c r="H1383" i="2"/>
  <c r="G1383" i="2"/>
  <c r="G1382" i="2"/>
  <c r="G1381" i="2"/>
  <c r="G1380" i="2"/>
  <c r="H1379" i="2"/>
  <c r="G1379" i="2"/>
  <c r="G1378" i="2"/>
  <c r="G1377" i="2"/>
  <c r="G1376" i="2"/>
  <c r="G1375" i="2"/>
  <c r="G1374" i="2"/>
  <c r="H1373" i="2"/>
  <c r="G1373" i="2"/>
  <c r="G1372" i="2"/>
  <c r="G1371" i="2"/>
  <c r="H1370" i="2"/>
  <c r="G1370" i="2"/>
  <c r="H1368" i="2"/>
  <c r="G1368" i="2"/>
  <c r="F1367" i="2"/>
  <c r="F1366" i="2" s="1"/>
  <c r="E1367" i="2"/>
  <c r="E1366" i="2" s="1"/>
  <c r="H1361" i="2"/>
  <c r="F1361" i="2"/>
  <c r="E1361" i="2"/>
  <c r="H1355" i="2"/>
  <c r="F1355" i="2"/>
  <c r="E1355" i="2"/>
  <c r="G1354" i="2"/>
  <c r="G1353" i="2"/>
  <c r="G1352" i="2"/>
  <c r="G1351" i="2"/>
  <c r="G1350" i="2"/>
  <c r="G1349" i="2"/>
  <c r="G1348" i="2"/>
  <c r="G1347" i="2"/>
  <c r="H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H1314" i="2"/>
  <c r="G1314" i="2"/>
  <c r="H1305" i="2"/>
  <c r="G1300" i="2"/>
  <c r="E1299" i="2"/>
  <c r="G1296" i="2"/>
  <c r="G1295" i="2"/>
  <c r="E1294" i="2"/>
  <c r="G1290" i="2"/>
  <c r="G1289" i="2"/>
  <c r="G1288" i="2"/>
  <c r="G1287" i="2"/>
  <c r="G1286" i="2"/>
  <c r="G1285" i="2"/>
  <c r="G1284" i="2"/>
  <c r="H1283" i="2"/>
  <c r="H1282" i="2" s="1"/>
  <c r="H1281" i="2" s="1"/>
  <c r="E1283" i="2"/>
  <c r="G1283" i="2" s="1"/>
  <c r="G1279" i="2"/>
  <c r="E1278" i="2"/>
  <c r="G1278" i="2" s="1"/>
  <c r="G1275" i="2"/>
  <c r="E1274" i="2"/>
  <c r="G1274" i="2" s="1"/>
  <c r="G1273" i="2"/>
  <c r="E1272" i="2"/>
  <c r="G1272" i="2" s="1"/>
  <c r="H1271" i="2"/>
  <c r="G1269" i="2"/>
  <c r="E1268" i="2"/>
  <c r="G1268" i="2" s="1"/>
  <c r="G1264" i="2"/>
  <c r="G1263" i="2" s="1"/>
  <c r="G1262" i="2" s="1"/>
  <c r="E1263" i="2"/>
  <c r="E1262" i="2" s="1"/>
  <c r="G1260" i="2"/>
  <c r="E1259" i="2"/>
  <c r="G1256" i="2"/>
  <c r="E1255" i="2"/>
  <c r="G1255" i="2" s="1"/>
  <c r="G1252" i="2"/>
  <c r="E1251" i="2"/>
  <c r="G1251" i="2" s="1"/>
  <c r="G1250" i="2"/>
  <c r="E1249" i="2"/>
  <c r="G1249" i="2" s="1"/>
  <c r="G1248" i="2"/>
  <c r="G1247" i="2"/>
  <c r="H1246" i="2"/>
  <c r="H1245" i="2" s="1"/>
  <c r="E1246" i="2"/>
  <c r="G1246" i="2" s="1"/>
  <c r="G1243" i="2"/>
  <c r="E1242" i="2"/>
  <c r="G1242" i="2" s="1"/>
  <c r="G1239" i="2"/>
  <c r="G1238" i="2"/>
  <c r="G1237" i="2"/>
  <c r="G1236" i="2"/>
  <c r="H1235" i="2"/>
  <c r="E1235" i="2"/>
  <c r="G1235" i="2" s="1"/>
  <c r="G1234" i="2"/>
  <c r="G1233" i="2"/>
  <c r="H1232" i="2"/>
  <c r="E1232" i="2"/>
  <c r="G1232" i="2" s="1"/>
  <c r="G1231" i="2"/>
  <c r="G1230" i="2"/>
  <c r="G1229" i="2"/>
  <c r="H1228" i="2"/>
  <c r="E1228" i="2"/>
  <c r="G1228" i="2" s="1"/>
  <c r="G1225" i="2"/>
  <c r="G1224" i="2"/>
  <c r="G1223" i="2"/>
  <c r="G1222" i="2"/>
  <c r="H1221" i="2"/>
  <c r="H1214" i="2" s="1"/>
  <c r="E1221" i="2"/>
  <c r="G1221" i="2" s="1"/>
  <c r="E1218" i="2"/>
  <c r="E1215" i="2"/>
  <c r="G1212" i="2"/>
  <c r="G1211" i="2"/>
  <c r="G1210" i="2"/>
  <c r="G1209" i="2"/>
  <c r="G1208" i="2"/>
  <c r="G1207" i="2"/>
  <c r="G1206" i="2"/>
  <c r="G1205" i="2"/>
  <c r="G1204" i="2"/>
  <c r="G1203" i="2"/>
  <c r="H1202" i="2"/>
  <c r="H1201" i="2" s="1"/>
  <c r="E1202" i="2"/>
  <c r="G1199" i="2"/>
  <c r="E1198" i="2"/>
  <c r="G1198" i="2" s="1"/>
  <c r="G1197" i="2"/>
  <c r="H1197" i="2" s="1"/>
  <c r="E1196" i="2"/>
  <c r="G1196" i="2" s="1"/>
  <c r="H1196" i="2" s="1"/>
  <c r="G1195" i="2"/>
  <c r="G1194" i="2"/>
  <c r="G1193" i="2"/>
  <c r="H1192" i="2"/>
  <c r="E1192" i="2"/>
  <c r="G1192" i="2" s="1"/>
  <c r="G1191" i="2"/>
  <c r="E1190" i="2"/>
  <c r="G1190" i="2" s="1"/>
  <c r="G1189" i="2"/>
  <c r="E1188" i="2"/>
  <c r="G1188" i="2" s="1"/>
  <c r="G1187" i="2"/>
  <c r="E1186" i="2"/>
  <c r="G1186" i="2" s="1"/>
  <c r="G1183" i="2"/>
  <c r="E1182" i="2"/>
  <c r="G1181" i="2"/>
  <c r="E1180" i="2"/>
  <c r="G1180" i="2" s="1"/>
  <c r="G1179" i="2"/>
  <c r="G1178" i="2"/>
  <c r="E1177" i="2"/>
  <c r="G1177" i="2" s="1"/>
  <c r="H1176" i="2"/>
  <c r="G1174" i="2"/>
  <c r="E1173" i="2"/>
  <c r="G1173" i="2" s="1"/>
  <c r="G1172" i="2"/>
  <c r="E1171" i="2"/>
  <c r="G1171" i="2" s="1"/>
  <c r="G1170" i="2"/>
  <c r="E1169" i="2"/>
  <c r="G1169" i="2" s="1"/>
  <c r="G1165" i="2"/>
  <c r="E1164" i="2"/>
  <c r="G1164" i="2" s="1"/>
  <c r="G1161" i="2"/>
  <c r="G1159" i="2"/>
  <c r="E1158" i="2"/>
  <c r="G1158" i="2" s="1"/>
  <c r="G1157" i="2"/>
  <c r="G1156" i="2"/>
  <c r="G1155" i="2"/>
  <c r="G1154" i="2"/>
  <c r="G1153" i="2"/>
  <c r="H1152" i="2"/>
  <c r="E1152" i="2"/>
  <c r="G1152" i="2" s="1"/>
  <c r="G1151" i="2"/>
  <c r="E1150" i="2"/>
  <c r="G1150" i="2" s="1"/>
  <c r="G1149" i="2"/>
  <c r="E1148" i="2"/>
  <c r="G1148" i="2" s="1"/>
  <c r="G1147" i="2"/>
  <c r="G1146" i="2"/>
  <c r="H1145" i="2"/>
  <c r="E1145" i="2"/>
  <c r="G1145" i="2" s="1"/>
  <c r="G1144" i="2"/>
  <c r="G1143" i="2"/>
  <c r="G1142" i="2"/>
  <c r="G1141" i="2"/>
  <c r="G1140" i="2"/>
  <c r="G1139" i="2"/>
  <c r="G1138" i="2"/>
  <c r="H1137" i="2"/>
  <c r="E1137" i="2"/>
  <c r="G1137" i="2" s="1"/>
  <c r="G1133" i="2"/>
  <c r="E1132" i="2"/>
  <c r="G1132" i="2" s="1"/>
  <c r="F1131" i="2"/>
  <c r="G1129" i="2"/>
  <c r="G1127" i="2"/>
  <c r="G1126" i="2"/>
  <c r="H1124" i="2"/>
  <c r="E1124" i="2"/>
  <c r="G1124" i="2" s="1"/>
  <c r="G1123" i="2"/>
  <c r="G1122" i="2"/>
  <c r="G1121" i="2"/>
  <c r="H1120" i="2"/>
  <c r="E1120" i="2"/>
  <c r="G1120" i="2" s="1"/>
  <c r="G1119" i="2"/>
  <c r="G1118" i="2"/>
  <c r="G1117" i="2"/>
  <c r="G1116" i="2"/>
  <c r="G1115" i="2"/>
  <c r="G1114" i="2"/>
  <c r="G1113" i="2"/>
  <c r="G1112" i="2"/>
  <c r="H1111" i="2"/>
  <c r="E1111" i="2"/>
  <c r="G1111" i="2" s="1"/>
  <c r="G1110" i="2"/>
  <c r="G1109" i="2"/>
  <c r="G1108" i="2"/>
  <c r="G1107" i="2"/>
  <c r="G1106" i="2"/>
  <c r="G1105" i="2"/>
  <c r="G1104" i="2"/>
  <c r="G1103" i="2"/>
  <c r="G1102" i="2"/>
  <c r="G1101" i="2"/>
  <c r="H1100" i="2"/>
  <c r="F1100" i="2"/>
  <c r="E1100" i="2"/>
  <c r="G1099" i="2"/>
  <c r="G1098" i="2"/>
  <c r="G1097" i="2"/>
  <c r="G1096" i="2"/>
  <c r="G1095" i="2"/>
  <c r="G1094" i="2"/>
  <c r="G1093" i="2"/>
  <c r="G1092" i="2"/>
  <c r="G1091" i="2"/>
  <c r="G1090" i="2"/>
  <c r="F1089" i="2"/>
  <c r="E1089" i="2"/>
  <c r="G1085" i="2"/>
  <c r="H1084" i="2"/>
  <c r="H1083" i="2" s="1"/>
  <c r="F1084" i="2"/>
  <c r="G1084" i="2" s="1"/>
  <c r="G1081" i="2"/>
  <c r="H1081" i="2" s="1"/>
  <c r="G1080" i="2"/>
  <c r="G1079" i="2"/>
  <c r="H1079" i="2" s="1"/>
  <c r="G1078" i="2"/>
  <c r="H1078" i="2" s="1"/>
  <c r="G1077" i="2"/>
  <c r="G1076" i="2"/>
  <c r="H1076" i="2" s="1"/>
  <c r="G1075" i="2"/>
  <c r="H1075" i="2" s="1"/>
  <c r="F1074" i="2"/>
  <c r="G1074" i="2" s="1"/>
  <c r="G1070" i="2"/>
  <c r="H1069" i="2"/>
  <c r="F1069" i="2"/>
  <c r="G1069" i="2" s="1"/>
  <c r="G1068" i="2"/>
  <c r="H1067" i="2"/>
  <c r="F1067" i="2"/>
  <c r="G1067" i="2" s="1"/>
  <c r="G1066" i="2"/>
  <c r="H1065" i="2"/>
  <c r="F1065" i="2"/>
  <c r="G1065" i="2" s="1"/>
  <c r="G1064" i="2"/>
  <c r="G1063" i="2"/>
  <c r="F1062" i="2"/>
  <c r="G1062" i="2" s="1"/>
  <c r="G1059" i="2"/>
  <c r="G1057" i="2"/>
  <c r="H1057" i="2" s="1"/>
  <c r="G1056" i="2"/>
  <c r="H1055" i="2"/>
  <c r="H1054" i="2" s="1"/>
  <c r="H1036" i="2" s="1"/>
  <c r="F1055" i="2"/>
  <c r="G1055" i="2" s="1"/>
  <c r="G1052" i="2"/>
  <c r="H1051" i="2"/>
  <c r="F1051" i="2"/>
  <c r="G1051" i="2" s="1"/>
  <c r="G1050" i="2"/>
  <c r="G1049" i="2"/>
  <c r="G1048" i="2"/>
  <c r="H1047" i="2"/>
  <c r="F1047" i="2"/>
  <c r="G1047" i="2" s="1"/>
  <c r="G1046" i="2"/>
  <c r="G1045" i="2"/>
  <c r="H1044" i="2"/>
  <c r="F1044" i="2"/>
  <c r="G1044" i="2" s="1"/>
  <c r="G1043" i="2"/>
  <c r="H1042" i="2"/>
  <c r="F1042" i="2"/>
  <c r="G1042" i="2" s="1"/>
  <c r="G1041" i="2"/>
  <c r="G1040" i="2"/>
  <c r="G1039" i="2"/>
  <c r="H1038" i="2"/>
  <c r="F1038" i="2"/>
  <c r="G1038" i="2" s="1"/>
  <c r="G1034" i="2"/>
  <c r="H1033" i="2"/>
  <c r="F1033" i="2"/>
  <c r="G1033" i="2" s="1"/>
  <c r="G1032" i="2"/>
  <c r="H1032" i="2" s="1"/>
  <c r="F1031" i="2"/>
  <c r="G1031" i="2" s="1"/>
  <c r="G1028" i="2"/>
  <c r="H1027" i="2"/>
  <c r="H1026" i="2" s="1"/>
  <c r="H1025" i="2" s="1"/>
  <c r="F1027" i="2"/>
  <c r="G1027" i="2" s="1"/>
  <c r="G1023" i="2"/>
  <c r="H1022" i="2"/>
  <c r="F1022" i="2"/>
  <c r="G1022" i="2" s="1"/>
  <c r="G1021" i="2"/>
  <c r="H1020" i="2"/>
  <c r="F1020" i="2"/>
  <c r="G1020" i="2" s="1"/>
  <c r="G1019" i="2"/>
  <c r="H1019" i="2" s="1"/>
  <c r="F1018" i="2"/>
  <c r="G1018" i="2" s="1"/>
  <c r="H1018" i="2" s="1"/>
  <c r="G1017" i="2"/>
  <c r="H1016" i="2"/>
  <c r="F1016" i="2"/>
  <c r="G1016" i="2" s="1"/>
  <c r="G1015" i="2"/>
  <c r="G1014" i="2"/>
  <c r="G1013" i="2"/>
  <c r="H1012" i="2"/>
  <c r="F1012" i="2"/>
  <c r="G1009" i="2"/>
  <c r="G1008" i="2"/>
  <c r="F1007" i="2"/>
  <c r="G1007" i="2" s="1"/>
  <c r="H1006" i="2"/>
  <c r="G1004" i="2"/>
  <c r="H1003" i="2"/>
  <c r="F1003" i="2"/>
  <c r="G1003" i="2" s="1"/>
  <c r="G1002" i="2"/>
  <c r="H1001" i="2"/>
  <c r="F1001" i="2"/>
  <c r="G1001" i="2" s="1"/>
  <c r="G1000" i="2"/>
  <c r="H999" i="2"/>
  <c r="F999" i="2"/>
  <c r="G999" i="2" s="1"/>
  <c r="G995" i="2"/>
  <c r="H994" i="2"/>
  <c r="F994" i="2"/>
  <c r="G994" i="2" s="1"/>
  <c r="G993" i="2"/>
  <c r="H992" i="2"/>
  <c r="F992" i="2"/>
  <c r="G992" i="2" s="1"/>
  <c r="G991" i="2"/>
  <c r="F990" i="2"/>
  <c r="G989" i="2"/>
  <c r="G988" i="2"/>
  <c r="H987" i="2"/>
  <c r="F987" i="2"/>
  <c r="G987" i="2" s="1"/>
  <c r="G983" i="2"/>
  <c r="G982" i="2"/>
  <c r="G981" i="2"/>
  <c r="F980" i="2"/>
  <c r="G980" i="2" s="1"/>
  <c r="H979" i="2"/>
  <c r="H978" i="2" s="1"/>
  <c r="G976" i="2"/>
  <c r="H975" i="2"/>
  <c r="F975" i="2"/>
  <c r="G975" i="2" s="1"/>
  <c r="G974" i="2"/>
  <c r="G973" i="2"/>
  <c r="H972" i="2"/>
  <c r="F972" i="2"/>
  <c r="G972" i="2" s="1"/>
  <c r="G971" i="2"/>
  <c r="H970" i="2"/>
  <c r="F970" i="2"/>
  <c r="G970" i="2" s="1"/>
  <c r="G969" i="2"/>
  <c r="F968" i="2"/>
  <c r="G968" i="2" s="1"/>
  <c r="G967" i="2"/>
  <c r="H966" i="2"/>
  <c r="F966" i="2"/>
  <c r="G966" i="2" s="1"/>
  <c r="G963" i="2"/>
  <c r="H962" i="2"/>
  <c r="F962" i="2"/>
  <c r="G962" i="2" s="1"/>
  <c r="G961" i="2"/>
  <c r="H960" i="2"/>
  <c r="F960" i="2"/>
  <c r="G960" i="2" s="1"/>
  <c r="G959" i="2"/>
  <c r="G958" i="2"/>
  <c r="H957" i="2"/>
  <c r="F957" i="2"/>
  <c r="G957" i="2" s="1"/>
  <c r="G956" i="2"/>
  <c r="G955" i="2"/>
  <c r="H954" i="2"/>
  <c r="F954" i="2"/>
  <c r="G954" i="2" s="1"/>
  <c r="G953" i="2"/>
  <c r="G952" i="2"/>
  <c r="G951" i="2"/>
  <c r="H950" i="2"/>
  <c r="F950" i="2"/>
  <c r="G950" i="2" s="1"/>
  <c r="G949" i="2"/>
  <c r="G948" i="2"/>
  <c r="H947" i="2"/>
  <c r="F947" i="2"/>
  <c r="G947" i="2" s="1"/>
  <c r="G943" i="2"/>
  <c r="H942" i="2"/>
  <c r="H941" i="2" s="1"/>
  <c r="H940" i="2" s="1"/>
  <c r="F942" i="2"/>
  <c r="G942" i="2" s="1"/>
  <c r="G938" i="2"/>
  <c r="G937" i="2"/>
  <c r="G936" i="2"/>
  <c r="G935" i="2"/>
  <c r="G934" i="2"/>
  <c r="G932" i="2"/>
  <c r="G931" i="2"/>
  <c r="H930" i="2"/>
  <c r="H929" i="2" s="1"/>
  <c r="H928" i="2" s="1"/>
  <c r="F930" i="2"/>
  <c r="G930" i="2" s="1"/>
  <c r="G926" i="2"/>
  <c r="H925" i="2"/>
  <c r="H924" i="2" s="1"/>
  <c r="H923" i="2" s="1"/>
  <c r="F925" i="2"/>
  <c r="G921" i="2"/>
  <c r="H920" i="2"/>
  <c r="F920" i="2"/>
  <c r="G920" i="2" s="1"/>
  <c r="G919" i="2"/>
  <c r="G918" i="2"/>
  <c r="H917" i="2"/>
  <c r="H916" i="2" s="1"/>
  <c r="H915" i="2" s="1"/>
  <c r="F917" i="2"/>
  <c r="G917" i="2" s="1"/>
  <c r="G913" i="2"/>
  <c r="H912" i="2"/>
  <c r="F912" i="2"/>
  <c r="G912" i="2" s="1"/>
  <c r="G911" i="2"/>
  <c r="H910" i="2"/>
  <c r="F910" i="2"/>
  <c r="G910" i="2" s="1"/>
  <c r="G909" i="2"/>
  <c r="H908" i="2"/>
  <c r="F908" i="2"/>
  <c r="G908" i="2" s="1"/>
  <c r="G907" i="2"/>
  <c r="H906" i="2"/>
  <c r="F906" i="2"/>
  <c r="G903" i="2"/>
  <c r="G902" i="2"/>
  <c r="G901" i="2"/>
  <c r="H900" i="2"/>
  <c r="F900" i="2"/>
  <c r="G900" i="2" s="1"/>
  <c r="G899" i="2"/>
  <c r="G898" i="2"/>
  <c r="G897" i="2"/>
  <c r="G896" i="2"/>
  <c r="H895" i="2"/>
  <c r="F895" i="2"/>
  <c r="G895" i="2" s="1"/>
  <c r="G894" i="2"/>
  <c r="G893" i="2"/>
  <c r="G892" i="2"/>
  <c r="H891" i="2"/>
  <c r="F891" i="2"/>
  <c r="G891" i="2" s="1"/>
  <c r="G890" i="2"/>
  <c r="G889" i="2"/>
  <c r="G888" i="2"/>
  <c r="H887" i="2"/>
  <c r="F887" i="2"/>
  <c r="G887" i="2" s="1"/>
  <c r="G886" i="2"/>
  <c r="G885" i="2"/>
  <c r="H884" i="2"/>
  <c r="F884" i="2"/>
  <c r="G884" i="2" s="1"/>
  <c r="G883" i="2"/>
  <c r="H882" i="2"/>
  <c r="F882" i="2"/>
  <c r="G882" i="2" s="1"/>
  <c r="G881" i="2"/>
  <c r="G880" i="2"/>
  <c r="G879" i="2"/>
  <c r="G878" i="2"/>
  <c r="H877" i="2"/>
  <c r="F877" i="2"/>
  <c r="G877" i="2" s="1"/>
  <c r="G875" i="2"/>
  <c r="G873" i="2"/>
  <c r="F872" i="2"/>
  <c r="G872" i="2" s="1"/>
  <c r="G871" i="2"/>
  <c r="G870" i="2"/>
  <c r="F869" i="2"/>
  <c r="G869" i="2" s="1"/>
  <c r="G868" i="2"/>
  <c r="G867" i="2"/>
  <c r="G866" i="2"/>
  <c r="G865" i="2"/>
  <c r="H864" i="2"/>
  <c r="F864" i="2"/>
  <c r="G864" i="2" s="1"/>
  <c r="G863" i="2"/>
  <c r="F862" i="2"/>
  <c r="G862" i="2" s="1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H847" i="2"/>
  <c r="F847" i="2"/>
  <c r="G847" i="2" s="1"/>
  <c r="G846" i="2"/>
  <c r="G845" i="2"/>
  <c r="G844" i="2"/>
  <c r="G843" i="2"/>
  <c r="G842" i="2"/>
  <c r="H841" i="2"/>
  <c r="F841" i="2"/>
  <c r="G841" i="2" s="1"/>
  <c r="E839" i="2"/>
  <c r="G837" i="2"/>
  <c r="G836" i="2"/>
  <c r="H835" i="2"/>
  <c r="H834" i="2" s="1"/>
  <c r="F835" i="2"/>
  <c r="G832" i="2"/>
  <c r="H831" i="2"/>
  <c r="H830" i="2" s="1"/>
  <c r="F831" i="2"/>
  <c r="G831" i="2" s="1"/>
  <c r="G828" i="2"/>
  <c r="H827" i="2"/>
  <c r="H826" i="2" s="1"/>
  <c r="F827" i="2"/>
  <c r="G827" i="2" s="1"/>
  <c r="G824" i="2"/>
  <c r="H823" i="2"/>
  <c r="F823" i="2"/>
  <c r="G823" i="2" s="1"/>
  <c r="G822" i="2"/>
  <c r="H821" i="2"/>
  <c r="F821" i="2"/>
  <c r="G821" i="2" s="1"/>
  <c r="G820" i="2"/>
  <c r="H819" i="2"/>
  <c r="F819" i="2"/>
  <c r="G819" i="2" s="1"/>
  <c r="G818" i="2"/>
  <c r="H817" i="2"/>
  <c r="F817" i="2"/>
  <c r="G817" i="2" s="1"/>
  <c r="G814" i="2"/>
  <c r="H813" i="2"/>
  <c r="F813" i="2"/>
  <c r="G813" i="2" s="1"/>
  <c r="G812" i="2"/>
  <c r="G811" i="2"/>
  <c r="H810" i="2"/>
  <c r="F810" i="2"/>
  <c r="G810" i="2" s="1"/>
  <c r="G809" i="2"/>
  <c r="H808" i="2"/>
  <c r="F808" i="2"/>
  <c r="G808" i="2" s="1"/>
  <c r="G807" i="2"/>
  <c r="H806" i="2"/>
  <c r="F806" i="2"/>
  <c r="G806" i="2" s="1"/>
  <c r="G805" i="2"/>
  <c r="H804" i="2"/>
  <c r="F804" i="2"/>
  <c r="G801" i="2"/>
  <c r="H800" i="2"/>
  <c r="F800" i="2"/>
  <c r="G800" i="2" s="1"/>
  <c r="G799" i="2"/>
  <c r="H798" i="2"/>
  <c r="F798" i="2"/>
  <c r="G795" i="2"/>
  <c r="G794" i="2"/>
  <c r="H793" i="2"/>
  <c r="F793" i="2"/>
  <c r="G792" i="2"/>
  <c r="G791" i="2"/>
  <c r="H790" i="2"/>
  <c r="F790" i="2"/>
  <c r="G790" i="2" s="1"/>
  <c r="G787" i="2"/>
  <c r="G786" i="2"/>
  <c r="H785" i="2"/>
  <c r="F785" i="2"/>
  <c r="G785" i="2" s="1"/>
  <c r="G784" i="2"/>
  <c r="H783" i="2"/>
  <c r="F783" i="2"/>
  <c r="G783" i="2" s="1"/>
  <c r="G782" i="2"/>
  <c r="H781" i="2"/>
  <c r="F781" i="2"/>
  <c r="G781" i="2" s="1"/>
  <c r="G780" i="2"/>
  <c r="G779" i="2"/>
  <c r="G778" i="2"/>
  <c r="H777" i="2"/>
  <c r="F777" i="2"/>
  <c r="G777" i="2" s="1"/>
  <c r="G774" i="2"/>
  <c r="G773" i="2"/>
  <c r="G772" i="2"/>
  <c r="G771" i="2"/>
  <c r="H770" i="2"/>
  <c r="F770" i="2"/>
  <c r="G770" i="2" s="1"/>
  <c r="G769" i="2"/>
  <c r="G768" i="2"/>
  <c r="G767" i="2"/>
  <c r="H766" i="2"/>
  <c r="F766" i="2"/>
  <c r="G766" i="2" s="1"/>
  <c r="G765" i="2"/>
  <c r="G764" i="2"/>
  <c r="H763" i="2"/>
  <c r="F763" i="2"/>
  <c r="G763" i="2" s="1"/>
  <c r="G762" i="2"/>
  <c r="H761" i="2"/>
  <c r="F761" i="2"/>
  <c r="G758" i="2"/>
  <c r="G757" i="2"/>
  <c r="H756" i="2"/>
  <c r="F756" i="2"/>
  <c r="G756" i="2" s="1"/>
  <c r="G755" i="2"/>
  <c r="H754" i="2"/>
  <c r="F754" i="2"/>
  <c r="G754" i="2" s="1"/>
  <c r="G751" i="2"/>
  <c r="H750" i="2"/>
  <c r="F750" i="2"/>
  <c r="G750" i="2" s="1"/>
  <c r="H749" i="2"/>
  <c r="F749" i="2"/>
  <c r="G749" i="2" s="1"/>
  <c r="G747" i="2"/>
  <c r="H746" i="2"/>
  <c r="F746" i="2"/>
  <c r="G746" i="2" s="1"/>
  <c r="G745" i="2"/>
  <c r="H744" i="2"/>
  <c r="F744" i="2"/>
  <c r="G741" i="2"/>
  <c r="G740" i="2"/>
  <c r="H739" i="2"/>
  <c r="F739" i="2"/>
  <c r="G739" i="2" s="1"/>
  <c r="G738" i="2"/>
  <c r="G737" i="2"/>
  <c r="G736" i="2"/>
  <c r="G735" i="2"/>
  <c r="G734" i="2"/>
  <c r="G733" i="2"/>
  <c r="G732" i="2"/>
  <c r="G731" i="2"/>
  <c r="G730" i="2"/>
  <c r="G729" i="2"/>
  <c r="G728" i="2"/>
  <c r="H727" i="2"/>
  <c r="F727" i="2"/>
  <c r="G727" i="2" s="1"/>
  <c r="G726" i="2"/>
  <c r="G725" i="2"/>
  <c r="H724" i="2"/>
  <c r="F724" i="2"/>
  <c r="G724" i="2" s="1"/>
  <c r="G723" i="2"/>
  <c r="H722" i="2"/>
  <c r="F722" i="2"/>
  <c r="G722" i="2" s="1"/>
  <c r="G721" i="2"/>
  <c r="G720" i="2"/>
  <c r="G719" i="2"/>
  <c r="G718" i="2"/>
  <c r="G717" i="2"/>
  <c r="G716" i="2"/>
  <c r="G715" i="2"/>
  <c r="H714" i="2"/>
  <c r="F714" i="2"/>
  <c r="G714" i="2" s="1"/>
  <c r="G711" i="2"/>
  <c r="H710" i="2"/>
  <c r="F710" i="2"/>
  <c r="G710" i="2" s="1"/>
  <c r="G709" i="2"/>
  <c r="G708" i="2" s="1"/>
  <c r="H708" i="2"/>
  <c r="F708" i="2"/>
  <c r="G707" i="2"/>
  <c r="G706" i="2"/>
  <c r="H705" i="2"/>
  <c r="F705" i="2"/>
  <c r="G705" i="2" s="1"/>
  <c r="G704" i="2"/>
  <c r="H703" i="2"/>
  <c r="F703" i="2"/>
  <c r="G703" i="2" s="1"/>
  <c r="G702" i="2"/>
  <c r="G701" i="2"/>
  <c r="G700" i="2"/>
  <c r="G699" i="2"/>
  <c r="G697" i="2"/>
  <c r="G696" i="2"/>
  <c r="G695" i="2"/>
  <c r="G694" i="2"/>
  <c r="G693" i="2"/>
  <c r="G692" i="2"/>
  <c r="H691" i="2"/>
  <c r="F691" i="2"/>
  <c r="G691" i="2" s="1"/>
  <c r="G690" i="2"/>
  <c r="G689" i="2" s="1"/>
  <c r="H689" i="2"/>
  <c r="F689" i="2"/>
  <c r="E687" i="2"/>
  <c r="G684" i="2"/>
  <c r="F683" i="2"/>
  <c r="E683" i="2"/>
  <c r="G682" i="2"/>
  <c r="F681" i="2"/>
  <c r="E681" i="2"/>
  <c r="G680" i="2"/>
  <c r="G679" i="2"/>
  <c r="G678" i="2"/>
  <c r="G677" i="2"/>
  <c r="F676" i="2"/>
  <c r="E676" i="2"/>
  <c r="G673" i="2"/>
  <c r="G672" i="2"/>
  <c r="F671" i="2"/>
  <c r="F670" i="2" s="1"/>
  <c r="E671" i="2"/>
  <c r="E670" i="2" s="1"/>
  <c r="G668" i="2"/>
  <c r="H668" i="2" s="1"/>
  <c r="G667" i="2"/>
  <c r="H667" i="2" s="1"/>
  <c r="G666" i="2"/>
  <c r="H666" i="2" s="1"/>
  <c r="G665" i="2"/>
  <c r="H665" i="2" s="1"/>
  <c r="G664" i="2"/>
  <c r="H664" i="2" s="1"/>
  <c r="G663" i="2"/>
  <c r="H663" i="2" s="1"/>
  <c r="G661" i="2"/>
  <c r="H661" i="2" s="1"/>
  <c r="F660" i="2"/>
  <c r="F659" i="2" s="1"/>
  <c r="E660" i="2"/>
  <c r="E659" i="2" s="1"/>
  <c r="G657" i="2"/>
  <c r="G656" i="2"/>
  <c r="F655" i="2"/>
  <c r="E655" i="2"/>
  <c r="H654" i="2"/>
  <c r="G653" i="2"/>
  <c r="G652" i="2"/>
  <c r="H651" i="2"/>
  <c r="H650" i="2"/>
  <c r="G649" i="2"/>
  <c r="G648" i="2"/>
  <c r="H647" i="2"/>
  <c r="F646" i="2"/>
  <c r="E646" i="2"/>
  <c r="G643" i="2"/>
  <c r="F642" i="2"/>
  <c r="E642" i="2"/>
  <c r="G641" i="2"/>
  <c r="F640" i="2"/>
  <c r="E640" i="2"/>
  <c r="G639" i="2"/>
  <c r="G638" i="2"/>
  <c r="G637" i="2"/>
  <c r="G636" i="2"/>
  <c r="G635" i="2"/>
  <c r="H635" i="2" s="1"/>
  <c r="H634" i="2" s="1"/>
  <c r="H631" i="2" s="1"/>
  <c r="F634" i="2"/>
  <c r="E634" i="2"/>
  <c r="G633" i="2"/>
  <c r="F632" i="2"/>
  <c r="E632" i="2"/>
  <c r="G629" i="2"/>
  <c r="G628" i="2"/>
  <c r="F627" i="2"/>
  <c r="E627" i="2"/>
  <c r="G626" i="2"/>
  <c r="F625" i="2"/>
  <c r="E625" i="2"/>
  <c r="G622" i="2"/>
  <c r="F621" i="2"/>
  <c r="E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H609" i="2" s="1"/>
  <c r="H607" i="2" s="1"/>
  <c r="H606" i="2" s="1"/>
  <c r="G608" i="2"/>
  <c r="F607" i="2"/>
  <c r="E607" i="2"/>
  <c r="G604" i="2"/>
  <c r="H604" i="2" s="1"/>
  <c r="H594" i="2" s="1"/>
  <c r="H574" i="2" s="1"/>
  <c r="G603" i="2"/>
  <c r="G602" i="2"/>
  <c r="G601" i="2"/>
  <c r="G600" i="2"/>
  <c r="G599" i="2"/>
  <c r="G598" i="2"/>
  <c r="G597" i="2"/>
  <c r="G596" i="2"/>
  <c r="G595" i="2"/>
  <c r="F594" i="2"/>
  <c r="E594" i="2"/>
  <c r="G593" i="2"/>
  <c r="F592" i="2"/>
  <c r="E592" i="2"/>
  <c r="G591" i="2"/>
  <c r="G590" i="2"/>
  <c r="F589" i="2"/>
  <c r="E589" i="2"/>
  <c r="G588" i="2"/>
  <c r="G587" i="2"/>
  <c r="G586" i="2"/>
  <c r="G585" i="2"/>
  <c r="G584" i="2"/>
  <c r="F583" i="2"/>
  <c r="E583" i="2"/>
  <c r="G582" i="2"/>
  <c r="G581" i="2"/>
  <c r="G580" i="2"/>
  <c r="G579" i="2"/>
  <c r="G578" i="2"/>
  <c r="G577" i="2"/>
  <c r="G576" i="2"/>
  <c r="F575" i="2"/>
  <c r="E575" i="2"/>
  <c r="G572" i="2"/>
  <c r="F571" i="2"/>
  <c r="G571" i="2" s="1"/>
  <c r="G568" i="2"/>
  <c r="G567" i="2"/>
  <c r="G566" i="2"/>
  <c r="G564" i="2"/>
  <c r="G563" i="2"/>
  <c r="G562" i="2"/>
  <c r="G561" i="2"/>
  <c r="G560" i="2"/>
  <c r="G559" i="2"/>
  <c r="G558" i="2"/>
  <c r="G557" i="2"/>
  <c r="F556" i="2"/>
  <c r="F555" i="2" s="1"/>
  <c r="E556" i="2"/>
  <c r="E555" i="2" s="1"/>
  <c r="G553" i="2"/>
  <c r="F552" i="2"/>
  <c r="E552" i="2"/>
  <c r="G551" i="2"/>
  <c r="G550" i="2"/>
  <c r="F549" i="2"/>
  <c r="E549" i="2"/>
  <c r="G548" i="2"/>
  <c r="H548" i="2" s="1"/>
  <c r="H545" i="2" s="1"/>
  <c r="H537" i="2" s="1"/>
  <c r="G547" i="2"/>
  <c r="G546" i="2"/>
  <c r="F545" i="2"/>
  <c r="E545" i="2"/>
  <c r="G544" i="2"/>
  <c r="G543" i="2"/>
  <c r="G542" i="2"/>
  <c r="G541" i="2"/>
  <c r="F540" i="2"/>
  <c r="E540" i="2"/>
  <c r="G539" i="2"/>
  <c r="F538" i="2"/>
  <c r="E538" i="2"/>
  <c r="G535" i="2"/>
  <c r="F534" i="2"/>
  <c r="E534" i="2"/>
  <c r="G533" i="2"/>
  <c r="G532" i="2"/>
  <c r="G531" i="2"/>
  <c r="H531" i="2" s="1"/>
  <c r="H530" i="2" s="1"/>
  <c r="H516" i="2" s="1"/>
  <c r="F530" i="2"/>
  <c r="E530" i="2"/>
  <c r="G529" i="2"/>
  <c r="F528" i="2"/>
  <c r="E528" i="2"/>
  <c r="G527" i="2"/>
  <c r="F526" i="2"/>
  <c r="E526" i="2"/>
  <c r="G525" i="2"/>
  <c r="G524" i="2"/>
  <c r="G523" i="2"/>
  <c r="F522" i="2"/>
  <c r="E522" i="2"/>
  <c r="G521" i="2"/>
  <c r="G520" i="2"/>
  <c r="G519" i="2"/>
  <c r="G518" i="2"/>
  <c r="F517" i="2"/>
  <c r="E517" i="2"/>
  <c r="G514" i="2"/>
  <c r="H514" i="2" s="1"/>
  <c r="G513" i="2"/>
  <c r="G512" i="2"/>
  <c r="H512" i="2" s="1"/>
  <c r="F511" i="2"/>
  <c r="G511" i="2" s="1"/>
  <c r="H511" i="2" s="1"/>
  <c r="G510" i="2"/>
  <c r="H510" i="2" s="1"/>
  <c r="F509" i="2"/>
  <c r="G509" i="2" s="1"/>
  <c r="H509" i="2" s="1"/>
  <c r="G508" i="2"/>
  <c r="F507" i="2"/>
  <c r="G507" i="2" s="1"/>
  <c r="G506" i="2"/>
  <c r="G505" i="2"/>
  <c r="G504" i="2"/>
  <c r="G503" i="2"/>
  <c r="G502" i="2"/>
  <c r="H502" i="2" s="1"/>
  <c r="H500" i="2" s="1"/>
  <c r="G501" i="2"/>
  <c r="F500" i="2"/>
  <c r="G500" i="2" s="1"/>
  <c r="G499" i="2"/>
  <c r="G498" i="2"/>
  <c r="G497" i="2"/>
  <c r="G496" i="2"/>
  <c r="F495" i="2"/>
  <c r="G495" i="2" s="1"/>
  <c r="G494" i="2"/>
  <c r="H494" i="2" s="1"/>
  <c r="G493" i="2"/>
  <c r="H493" i="2" s="1"/>
  <c r="G492" i="2"/>
  <c r="H492" i="2" s="1"/>
  <c r="F491" i="2"/>
  <c r="G491" i="2" s="1"/>
  <c r="H491" i="2" s="1"/>
  <c r="E490" i="2"/>
  <c r="G488" i="2"/>
  <c r="H488" i="2" s="1"/>
  <c r="G487" i="2"/>
  <c r="H487" i="2" s="1"/>
  <c r="G486" i="2"/>
  <c r="H486" i="2" s="1"/>
  <c r="G485" i="2"/>
  <c r="H485" i="2" s="1"/>
  <c r="F484" i="2"/>
  <c r="G484" i="2" s="1"/>
  <c r="G483" i="2"/>
  <c r="H483" i="2" s="1"/>
  <c r="G482" i="2"/>
  <c r="G481" i="2"/>
  <c r="G480" i="2"/>
  <c r="G479" i="2"/>
  <c r="H479" i="2" s="1"/>
  <c r="G478" i="2"/>
  <c r="H478" i="2" s="1"/>
  <c r="G477" i="2"/>
  <c r="H477" i="2" s="1"/>
  <c r="G476" i="2"/>
  <c r="F475" i="2"/>
  <c r="G475" i="2" s="1"/>
  <c r="G474" i="2"/>
  <c r="H474" i="2" s="1"/>
  <c r="F473" i="2"/>
  <c r="G473" i="2" s="1"/>
  <c r="H473" i="2" s="1"/>
  <c r="G472" i="2"/>
  <c r="H472" i="2" s="1"/>
  <c r="G471" i="2"/>
  <c r="H471" i="2" s="1"/>
  <c r="G470" i="2"/>
  <c r="G469" i="2"/>
  <c r="G468" i="2"/>
  <c r="H468" i="2" s="1"/>
  <c r="G467" i="2"/>
  <c r="F466" i="2"/>
  <c r="G466" i="2" s="1"/>
  <c r="G465" i="2"/>
  <c r="G464" i="2"/>
  <c r="F463" i="2"/>
  <c r="G460" i="2"/>
  <c r="F459" i="2"/>
  <c r="G459" i="2" s="1"/>
  <c r="G458" i="2"/>
  <c r="G457" i="2"/>
  <c r="F456" i="2"/>
  <c r="G456" i="2" s="1"/>
  <c r="G455" i="2"/>
  <c r="G454" i="2"/>
  <c r="F453" i="2"/>
  <c r="G453" i="2" s="1"/>
  <c r="G452" i="2"/>
  <c r="G451" i="2"/>
  <c r="G450" i="2"/>
  <c r="G449" i="2"/>
  <c r="F448" i="2"/>
  <c r="G448" i="2" s="1"/>
  <c r="G447" i="2"/>
  <c r="F446" i="2"/>
  <c r="G446" i="2" s="1"/>
  <c r="G445" i="2"/>
  <c r="H445" i="2" s="1"/>
  <c r="F444" i="2"/>
  <c r="G444" i="2" s="1"/>
  <c r="H444" i="2" s="1"/>
  <c r="H425" i="2" s="1"/>
  <c r="G443" i="2"/>
  <c r="G442" i="2"/>
  <c r="G441" i="2"/>
  <c r="F440" i="2"/>
  <c r="G440" i="2" s="1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F426" i="2"/>
  <c r="G426" i="2" s="1"/>
  <c r="E425" i="2"/>
  <c r="G423" i="2"/>
  <c r="G422" i="2"/>
  <c r="F421" i="2"/>
  <c r="E421" i="2"/>
  <c r="G420" i="2"/>
  <c r="G419" i="2"/>
  <c r="G418" i="2"/>
  <c r="G417" i="2"/>
  <c r="G416" i="2"/>
  <c r="F415" i="2"/>
  <c r="E415" i="2"/>
  <c r="G414" i="2"/>
  <c r="G413" i="2"/>
  <c r="G412" i="2"/>
  <c r="G411" i="2"/>
  <c r="F410" i="2"/>
  <c r="E410" i="2"/>
  <c r="G409" i="2"/>
  <c r="G408" i="2"/>
  <c r="G407" i="2"/>
  <c r="G406" i="2"/>
  <c r="H406" i="2" s="1"/>
  <c r="H404" i="2" s="1"/>
  <c r="H403" i="2" s="1"/>
  <c r="G405" i="2"/>
  <c r="F404" i="2"/>
  <c r="E404" i="2"/>
  <c r="G401" i="2"/>
  <c r="H401" i="2" s="1"/>
  <c r="G400" i="2"/>
  <c r="H400" i="2" s="1"/>
  <c r="G399" i="2"/>
  <c r="H399" i="2" s="1"/>
  <c r="F398" i="2"/>
  <c r="G398" i="2" s="1"/>
  <c r="H398" i="2" s="1"/>
  <c r="G397" i="2"/>
  <c r="F396" i="2"/>
  <c r="G396" i="2" s="1"/>
  <c r="G395" i="2"/>
  <c r="H395" i="2" s="1"/>
  <c r="F394" i="2"/>
  <c r="G394" i="2" s="1"/>
  <c r="H394" i="2" s="1"/>
  <c r="G393" i="2"/>
  <c r="H393" i="2" s="1"/>
  <c r="G392" i="2"/>
  <c r="F391" i="2"/>
  <c r="G391" i="2" s="1"/>
  <c r="G390" i="2"/>
  <c r="H390" i="2" s="1"/>
  <c r="F389" i="2"/>
  <c r="G389" i="2" s="1"/>
  <c r="H389" i="2" s="1"/>
  <c r="G388" i="2"/>
  <c r="F387" i="2"/>
  <c r="G387" i="2" s="1"/>
  <c r="G386" i="2"/>
  <c r="F385" i="2"/>
  <c r="G385" i="2" s="1"/>
  <c r="G384" i="2"/>
  <c r="G382" i="2"/>
  <c r="H382" i="2" s="1"/>
  <c r="F381" i="2"/>
  <c r="G381" i="2" s="1"/>
  <c r="H381" i="2" s="1"/>
  <c r="G380" i="2"/>
  <c r="G379" i="2"/>
  <c r="F378" i="2"/>
  <c r="G378" i="2" s="1"/>
  <c r="G377" i="2"/>
  <c r="H377" i="2" s="1"/>
  <c r="G376" i="2"/>
  <c r="H376" i="2" s="1"/>
  <c r="G375" i="2"/>
  <c r="G374" i="2"/>
  <c r="H374" i="2" s="1"/>
  <c r="G373" i="2"/>
  <c r="H373" i="2" s="1"/>
  <c r="F372" i="2"/>
  <c r="G372" i="2" s="1"/>
  <c r="G371" i="2"/>
  <c r="G370" i="2"/>
  <c r="G369" i="2"/>
  <c r="H369" i="2" s="1"/>
  <c r="G368" i="2"/>
  <c r="H368" i="2" s="1"/>
  <c r="F367" i="2"/>
  <c r="G367" i="2" s="1"/>
  <c r="G366" i="2"/>
  <c r="H366" i="2" s="1"/>
  <c r="G365" i="2"/>
  <c r="H365" i="2" s="1"/>
  <c r="G364" i="2"/>
  <c r="H364" i="2" s="1"/>
  <c r="F363" i="2"/>
  <c r="G363" i="2" s="1"/>
  <c r="G360" i="2"/>
  <c r="F359" i="2"/>
  <c r="F358" i="2" s="1"/>
  <c r="E359" i="2"/>
  <c r="E358" i="2" s="1"/>
  <c r="G356" i="2"/>
  <c r="G355" i="2"/>
  <c r="G354" i="2"/>
  <c r="F353" i="2"/>
  <c r="G353" i="2" s="1"/>
  <c r="G352" i="2"/>
  <c r="G351" i="2"/>
  <c r="G350" i="2"/>
  <c r="F349" i="2"/>
  <c r="G349" i="2" s="1"/>
  <c r="G348" i="2"/>
  <c r="G347" i="2"/>
  <c r="F346" i="2"/>
  <c r="G346" i="2" s="1"/>
  <c r="G343" i="2"/>
  <c r="G342" i="2"/>
  <c r="G341" i="2"/>
  <c r="G340" i="2"/>
  <c r="G339" i="2"/>
  <c r="G338" i="2"/>
  <c r="G337" i="2"/>
  <c r="H337" i="2" s="1"/>
  <c r="H334" i="2" s="1"/>
  <c r="H327" i="2" s="1"/>
  <c r="G336" i="2"/>
  <c r="G335" i="2"/>
  <c r="F334" i="2"/>
  <c r="G334" i="2" s="1"/>
  <c r="G333" i="2"/>
  <c r="G332" i="2"/>
  <c r="F331" i="2"/>
  <c r="G331" i="2" s="1"/>
  <c r="G330" i="2"/>
  <c r="G329" i="2"/>
  <c r="F328" i="2"/>
  <c r="G328" i="2" s="1"/>
  <c r="G325" i="2"/>
  <c r="F324" i="2"/>
  <c r="G324" i="2" s="1"/>
  <c r="G323" i="2"/>
  <c r="G322" i="2"/>
  <c r="G321" i="2"/>
  <c r="G320" i="2"/>
  <c r="F319" i="2"/>
  <c r="G319" i="2" s="1"/>
  <c r="G318" i="2"/>
  <c r="F317" i="2"/>
  <c r="G317" i="2" s="1"/>
  <c r="G316" i="2"/>
  <c r="G315" i="2"/>
  <c r="G314" i="2"/>
  <c r="G313" i="2"/>
  <c r="F312" i="2"/>
  <c r="G312" i="2" s="1"/>
  <c r="E311" i="2"/>
  <c r="G309" i="2"/>
  <c r="H309" i="2" s="1"/>
  <c r="G308" i="2"/>
  <c r="H308" i="2" s="1"/>
  <c r="F307" i="2"/>
  <c r="G307" i="2" s="1"/>
  <c r="H307" i="2" s="1"/>
  <c r="G306" i="2"/>
  <c r="H306" i="2" s="1"/>
  <c r="F305" i="2"/>
  <c r="G305" i="2" s="1"/>
  <c r="H305" i="2" s="1"/>
  <c r="G304" i="2"/>
  <c r="G303" i="2"/>
  <c r="G302" i="2"/>
  <c r="F301" i="2"/>
  <c r="G301" i="2" s="1"/>
  <c r="G300" i="2"/>
  <c r="G299" i="2"/>
  <c r="G298" i="2"/>
  <c r="F297" i="2"/>
  <c r="G297" i="2" s="1"/>
  <c r="G296" i="2"/>
  <c r="G295" i="2"/>
  <c r="G294" i="2"/>
  <c r="G293" i="2"/>
  <c r="F292" i="2"/>
  <c r="G292" i="2" s="1"/>
  <c r="G291" i="2"/>
  <c r="G289" i="2"/>
  <c r="H289" i="2" s="1"/>
  <c r="G288" i="2"/>
  <c r="H288" i="2" s="1"/>
  <c r="G287" i="2"/>
  <c r="G286" i="2"/>
  <c r="G285" i="2"/>
  <c r="H285" i="2" s="1"/>
  <c r="G284" i="2"/>
  <c r="G283" i="2"/>
  <c r="G282" i="2"/>
  <c r="G281" i="2"/>
  <c r="H281" i="2" s="1"/>
  <c r="F280" i="2"/>
  <c r="G280" i="2" s="1"/>
  <c r="G279" i="2"/>
  <c r="H279" i="2" s="1"/>
  <c r="F278" i="2"/>
  <c r="G278" i="2" s="1"/>
  <c r="H278" i="2" s="1"/>
  <c r="G275" i="2"/>
  <c r="H275" i="2" s="1"/>
  <c r="G274" i="2"/>
  <c r="G273" i="2"/>
  <c r="H273" i="2" s="1"/>
  <c r="G272" i="2"/>
  <c r="F271" i="2"/>
  <c r="G271" i="2" s="1"/>
  <c r="G270" i="2"/>
  <c r="G269" i="2"/>
  <c r="H269" i="2" s="1"/>
  <c r="H265" i="2" s="1"/>
  <c r="G268" i="2"/>
  <c r="G267" i="2"/>
  <c r="G266" i="2"/>
  <c r="F265" i="2"/>
  <c r="G265" i="2" s="1"/>
  <c r="G264" i="2"/>
  <c r="H264" i="2" s="1"/>
  <c r="G263" i="2"/>
  <c r="G262" i="2"/>
  <c r="G261" i="2"/>
  <c r="H261" i="2" s="1"/>
  <c r="G260" i="2"/>
  <c r="H260" i="2" s="1"/>
  <c r="F259" i="2"/>
  <c r="G259" i="2" s="1"/>
  <c r="G256" i="2"/>
  <c r="H256" i="2" s="1"/>
  <c r="G255" i="2"/>
  <c r="H255" i="2" s="1"/>
  <c r="G254" i="2"/>
  <c r="H254" i="2" s="1"/>
  <c r="F253" i="2"/>
  <c r="G253" i="2" s="1"/>
  <c r="H253" i="2" s="1"/>
  <c r="G252" i="2"/>
  <c r="H252" i="2" s="1"/>
  <c r="F251" i="2"/>
  <c r="G251" i="2" s="1"/>
  <c r="H251" i="2" s="1"/>
  <c r="G250" i="2"/>
  <c r="H250" i="2" s="1"/>
  <c r="F249" i="2"/>
  <c r="G249" i="2" s="1"/>
  <c r="H249" i="2" s="1"/>
  <c r="G248" i="2"/>
  <c r="H248" i="2" s="1"/>
  <c r="G247" i="2"/>
  <c r="G246" i="2"/>
  <c r="H246" i="2" s="1"/>
  <c r="F245" i="2"/>
  <c r="G245" i="2" s="1"/>
  <c r="G244" i="2"/>
  <c r="G243" i="2"/>
  <c r="H243" i="2" s="1"/>
  <c r="H242" i="2" s="1"/>
  <c r="F242" i="2"/>
  <c r="G242" i="2" s="1"/>
  <c r="G241" i="2"/>
  <c r="G240" i="2"/>
  <c r="H240" i="2" s="1"/>
  <c r="G239" i="2"/>
  <c r="G238" i="2"/>
  <c r="H238" i="2" s="1"/>
  <c r="G237" i="2"/>
  <c r="H237" i="2" s="1"/>
  <c r="G236" i="2"/>
  <c r="G235" i="2"/>
  <c r="F234" i="2"/>
  <c r="G234" i="2" s="1"/>
  <c r="G231" i="2"/>
  <c r="G230" i="2"/>
  <c r="G229" i="2"/>
  <c r="G228" i="2"/>
  <c r="F227" i="2"/>
  <c r="G227" i="2" s="1"/>
  <c r="G226" i="2"/>
  <c r="G225" i="2"/>
  <c r="F224" i="2"/>
  <c r="E224" i="2"/>
  <c r="E216" i="2" s="1"/>
  <c r="G223" i="2"/>
  <c r="G222" i="2"/>
  <c r="F221" i="2"/>
  <c r="G221" i="2" s="1"/>
  <c r="G220" i="2"/>
  <c r="G219" i="2"/>
  <c r="G218" i="2"/>
  <c r="F217" i="2"/>
  <c r="G217" i="2" s="1"/>
  <c r="G214" i="2"/>
  <c r="G213" i="2"/>
  <c r="G212" i="2"/>
  <c r="G211" i="2"/>
  <c r="G210" i="2"/>
  <c r="G209" i="2"/>
  <c r="G208" i="2"/>
  <c r="F207" i="2"/>
  <c r="G207" i="2" s="1"/>
  <c r="G206" i="2"/>
  <c r="G205" i="2"/>
  <c r="G204" i="2"/>
  <c r="G203" i="2"/>
  <c r="G202" i="2"/>
  <c r="G201" i="2"/>
  <c r="F200" i="2"/>
  <c r="G200" i="2" s="1"/>
  <c r="G199" i="2"/>
  <c r="F198" i="2"/>
  <c r="G198" i="2" s="1"/>
  <c r="G195" i="2"/>
  <c r="F194" i="2"/>
  <c r="G194" i="2" s="1"/>
  <c r="G193" i="2"/>
  <c r="H193" i="2" s="1"/>
  <c r="H187" i="2" s="1"/>
  <c r="H182" i="2" s="1"/>
  <c r="G192" i="2"/>
  <c r="G191" i="2"/>
  <c r="G190" i="2"/>
  <c r="G189" i="2"/>
  <c r="G188" i="2"/>
  <c r="F187" i="2"/>
  <c r="G187" i="2" s="1"/>
  <c r="G186" i="2"/>
  <c r="F185" i="2"/>
  <c r="G185" i="2" s="1"/>
  <c r="G184" i="2"/>
  <c r="F183" i="2"/>
  <c r="G183" i="2" s="1"/>
  <c r="E182" i="2"/>
  <c r="G180" i="2"/>
  <c r="F179" i="2"/>
  <c r="G179" i="2" s="1"/>
  <c r="G178" i="2"/>
  <c r="F177" i="2"/>
  <c r="G177" i="2" s="1"/>
  <c r="G176" i="2"/>
  <c r="G175" i="2"/>
  <c r="G174" i="2"/>
  <c r="G173" i="2"/>
  <c r="G172" i="2"/>
  <c r="G171" i="2"/>
  <c r="F170" i="2"/>
  <c r="G170" i="2" s="1"/>
  <c r="G169" i="2"/>
  <c r="F168" i="2"/>
  <c r="G168" i="2" s="1"/>
  <c r="G167" i="2"/>
  <c r="H166" i="2" s="1"/>
  <c r="F166" i="2"/>
  <c r="G166" i="2" s="1"/>
  <c r="G165" i="2"/>
  <c r="G164" i="2"/>
  <c r="F163" i="2"/>
  <c r="E163" i="2"/>
  <c r="E162" i="2" s="1"/>
  <c r="G160" i="2"/>
  <c r="H160" i="2" s="1"/>
  <c r="H158" i="2" s="1"/>
  <c r="G159" i="2"/>
  <c r="F158" i="2"/>
  <c r="E158" i="2"/>
  <c r="E85" i="2" s="1"/>
  <c r="G157" i="2"/>
  <c r="F156" i="2"/>
  <c r="G156" i="2" s="1"/>
  <c r="G155" i="2"/>
  <c r="G154" i="2"/>
  <c r="G153" i="2"/>
  <c r="F152" i="2"/>
  <c r="G152" i="2" s="1"/>
  <c r="G151" i="2"/>
  <c r="G150" i="2"/>
  <c r="G149" i="2"/>
  <c r="F148" i="2"/>
  <c r="G148" i="2" s="1"/>
  <c r="G147" i="2"/>
  <c r="G146" i="2"/>
  <c r="G145" i="2"/>
  <c r="G144" i="2"/>
  <c r="G143" i="2"/>
  <c r="G142" i="2"/>
  <c r="G141" i="2"/>
  <c r="G140" i="2"/>
  <c r="G139" i="2"/>
  <c r="G138" i="2"/>
  <c r="F137" i="2"/>
  <c r="G137" i="2" s="1"/>
  <c r="G136" i="2"/>
  <c r="G135" i="2"/>
  <c r="G134" i="2"/>
  <c r="F133" i="2"/>
  <c r="G133" i="2" s="1"/>
  <c r="G132" i="2"/>
  <c r="H132" i="2" s="1"/>
  <c r="H131" i="2" s="1"/>
  <c r="G131" i="2"/>
  <c r="G130" i="2"/>
  <c r="F129" i="2"/>
  <c r="G129" i="2" s="1"/>
  <c r="G128" i="2"/>
  <c r="G127" i="2"/>
  <c r="G126" i="2"/>
  <c r="G125" i="2"/>
  <c r="G124" i="2"/>
  <c r="G123" i="2"/>
  <c r="G122" i="2"/>
  <c r="G121" i="2"/>
  <c r="G120" i="2"/>
  <c r="G119" i="2"/>
  <c r="G118" i="2"/>
  <c r="F117" i="2"/>
  <c r="G117" i="2" s="1"/>
  <c r="G116" i="2"/>
  <c r="H116" i="2" s="1"/>
  <c r="G115" i="2"/>
  <c r="H115" i="2" s="1"/>
  <c r="F114" i="2"/>
  <c r="G114" i="2" s="1"/>
  <c r="G113" i="2"/>
  <c r="H113" i="2" s="1"/>
  <c r="G112" i="2"/>
  <c r="H112" i="2" s="1"/>
  <c r="G111" i="2"/>
  <c r="F110" i="2"/>
  <c r="G110" i="2" s="1"/>
  <c r="G109" i="2"/>
  <c r="G108" i="2"/>
  <c r="G107" i="2"/>
  <c r="G106" i="2"/>
  <c r="G105" i="2"/>
  <c r="G104" i="2"/>
  <c r="F103" i="2"/>
  <c r="G103" i="2" s="1"/>
  <c r="G102" i="2"/>
  <c r="F101" i="2"/>
  <c r="G101" i="2" s="1"/>
  <c r="G100" i="2"/>
  <c r="G99" i="2"/>
  <c r="G98" i="2"/>
  <c r="G97" i="2"/>
  <c r="G96" i="2"/>
  <c r="G95" i="2"/>
  <c r="G94" i="2"/>
  <c r="G93" i="2"/>
  <c r="G92" i="2"/>
  <c r="F91" i="2"/>
  <c r="G91" i="2" s="1"/>
  <c r="G90" i="2"/>
  <c r="G89" i="2"/>
  <c r="F88" i="2"/>
  <c r="G88" i="2" s="1"/>
  <c r="G87" i="2"/>
  <c r="F86" i="2"/>
  <c r="G86" i="2" s="1"/>
  <c r="G83" i="2"/>
  <c r="H83" i="2" s="1"/>
  <c r="G82" i="2"/>
  <c r="H82" i="2" s="1"/>
  <c r="G81" i="2"/>
  <c r="H81" i="2" s="1"/>
  <c r="G80" i="2"/>
  <c r="G79" i="2"/>
  <c r="G78" i="2"/>
  <c r="G77" i="2"/>
  <c r="G76" i="2"/>
  <c r="G75" i="2"/>
  <c r="H75" i="2" s="1"/>
  <c r="G74" i="2"/>
  <c r="G73" i="2"/>
  <c r="H73" i="2" s="1"/>
  <c r="G72" i="2"/>
  <c r="F71" i="2"/>
  <c r="G71" i="2" s="1"/>
  <c r="G70" i="2"/>
  <c r="H70" i="2" s="1"/>
  <c r="G69" i="2"/>
  <c r="H69" i="2" s="1"/>
  <c r="G68" i="2"/>
  <c r="G67" i="2"/>
  <c r="G66" i="2"/>
  <c r="G65" i="2"/>
  <c r="G64" i="2"/>
  <c r="F63" i="2"/>
  <c r="G63" i="2" s="1"/>
  <c r="G62" i="2"/>
  <c r="H62" i="2" s="1"/>
  <c r="H61" i="2"/>
  <c r="E60" i="2"/>
  <c r="G60" i="2" s="1"/>
  <c r="H60" i="2" s="1"/>
  <c r="G59" i="2"/>
  <c r="H59" i="2" s="1"/>
  <c r="G58" i="2"/>
  <c r="H58" i="2" s="1"/>
  <c r="G57" i="2"/>
  <c r="G56" i="2"/>
  <c r="G55" i="2"/>
  <c r="G54" i="2"/>
  <c r="H54" i="2" s="1"/>
  <c r="G53" i="2"/>
  <c r="G52" i="2"/>
  <c r="G51" i="2"/>
  <c r="G50" i="2"/>
  <c r="G49" i="2"/>
  <c r="H49" i="2" s="1"/>
  <c r="G48" i="2"/>
  <c r="G47" i="2"/>
  <c r="H47" i="2" s="1"/>
  <c r="G46" i="2"/>
  <c r="G45" i="2"/>
  <c r="G44" i="2"/>
  <c r="F43" i="2"/>
  <c r="E43" i="2"/>
  <c r="G42" i="2"/>
  <c r="G41" i="2"/>
  <c r="G40" i="2"/>
  <c r="G39" i="2"/>
  <c r="G38" i="2"/>
  <c r="G37" i="2"/>
  <c r="H37" i="2" s="1"/>
  <c r="G36" i="2"/>
  <c r="G35" i="2"/>
  <c r="H35" i="2" s="1"/>
  <c r="F34" i="2"/>
  <c r="G34" i="2" s="1"/>
  <c r="G33" i="2"/>
  <c r="G32" i="2"/>
  <c r="G31" i="2"/>
  <c r="H31" i="2" s="1"/>
  <c r="H29" i="2" s="1"/>
  <c r="G30" i="2"/>
  <c r="F29" i="2"/>
  <c r="G29" i="2" s="1"/>
  <c r="G27" i="2"/>
  <c r="H27" i="2" s="1"/>
  <c r="F26" i="2"/>
  <c r="G26" i="2" s="1"/>
  <c r="G25" i="2"/>
  <c r="H25" i="2" s="1"/>
  <c r="G24" i="2"/>
  <c r="H24" i="2" s="1"/>
  <c r="G23" i="2"/>
  <c r="H23" i="2" s="1"/>
  <c r="G22" i="2"/>
  <c r="H22" i="2" s="1"/>
  <c r="G21" i="2"/>
  <c r="G20" i="2"/>
  <c r="H20" i="2" s="1"/>
  <c r="G19" i="2"/>
  <c r="H19" i="2" s="1"/>
  <c r="G18" i="2"/>
  <c r="H18" i="2" s="1"/>
  <c r="F17" i="2"/>
  <c r="G17" i="2" s="1"/>
  <c r="F186" i="5" l="1"/>
  <c r="G186" i="5" s="1"/>
  <c r="F191" i="5"/>
  <c r="G191" i="5" s="1"/>
  <c r="F1960" i="2"/>
  <c r="G5301" i="2"/>
  <c r="G2474" i="2"/>
  <c r="F2473" i="2"/>
  <c r="F2472" i="2" s="1"/>
  <c r="E2473" i="2"/>
  <c r="E185" i="5"/>
  <c r="F185" i="5" s="1"/>
  <c r="G185" i="5" s="1"/>
  <c r="F609" i="4"/>
  <c r="F626" i="4"/>
  <c r="F728" i="4"/>
  <c r="G728" i="4" s="1"/>
  <c r="F733" i="4"/>
  <c r="G733" i="4" s="1"/>
  <c r="E484" i="4"/>
  <c r="F955" i="4"/>
  <c r="F1070" i="4"/>
  <c r="G1070" i="4" s="1"/>
  <c r="C125" i="3"/>
  <c r="C14" i="3"/>
  <c r="E1129" i="3"/>
  <c r="E1131" i="3"/>
  <c r="F1192" i="3"/>
  <c r="F1191" i="3" s="1"/>
  <c r="F1190" i="3" s="1"/>
  <c r="E1364" i="3"/>
  <c r="E2464" i="2"/>
  <c r="E1758" i="2"/>
  <c r="H2878" i="2"/>
  <c r="E5626" i="2"/>
  <c r="E5625" i="2" s="1"/>
  <c r="E5665" i="2"/>
  <c r="F339" i="4"/>
  <c r="F348" i="4"/>
  <c r="F369" i="4"/>
  <c r="F376" i="4"/>
  <c r="F379" i="4"/>
  <c r="F429" i="4"/>
  <c r="E615" i="4"/>
  <c r="D625" i="4"/>
  <c r="D800" i="4"/>
  <c r="D799" i="4" s="1"/>
  <c r="F821" i="4"/>
  <c r="G821" i="4" s="1"/>
  <c r="G914" i="4"/>
  <c r="F1048" i="4"/>
  <c r="G1048" i="4" s="1"/>
  <c r="F1051" i="4"/>
  <c r="G1051" i="4" s="1"/>
  <c r="F1088" i="4"/>
  <c r="G1088" i="4" s="1"/>
  <c r="F91" i="5"/>
  <c r="G91" i="5" s="1"/>
  <c r="D138" i="5"/>
  <c r="F138" i="5" s="1"/>
  <c r="G138" i="5" s="1"/>
  <c r="F164" i="5"/>
  <c r="G164" i="5" s="1"/>
  <c r="C159" i="3"/>
  <c r="C83" i="3"/>
  <c r="D159" i="3"/>
  <c r="D178" i="3"/>
  <c r="E178" i="3" s="1"/>
  <c r="F178" i="3" s="1"/>
  <c r="E1380" i="3"/>
  <c r="E1390" i="3"/>
  <c r="E1393" i="3"/>
  <c r="F1363" i="3"/>
  <c r="F1362" i="3" s="1"/>
  <c r="G181" i="4"/>
  <c r="F431" i="4"/>
  <c r="F450" i="4"/>
  <c r="G450" i="4" s="1"/>
  <c r="D548" i="4"/>
  <c r="F585" i="4"/>
  <c r="E782" i="4"/>
  <c r="F782" i="4" s="1"/>
  <c r="E112" i="4"/>
  <c r="F112" i="4" s="1"/>
  <c r="G112" i="4" s="1"/>
  <c r="D484" i="4"/>
  <c r="F484" i="4" s="1"/>
  <c r="G704" i="4"/>
  <c r="G703" i="4" s="1"/>
  <c r="G898" i="4"/>
  <c r="F908" i="4"/>
  <c r="F934" i="4"/>
  <c r="F960" i="4"/>
  <c r="F1004" i="4"/>
  <c r="F1015" i="4"/>
  <c r="G1015" i="4" s="1"/>
  <c r="F243" i="4"/>
  <c r="D242" i="4"/>
  <c r="F454" i="4"/>
  <c r="G454" i="4" s="1"/>
  <c r="F578" i="4"/>
  <c r="E780" i="4"/>
  <c r="F780" i="4" s="1"/>
  <c r="F962" i="4"/>
  <c r="E921" i="4"/>
  <c r="E920" i="4" s="1"/>
  <c r="F1046" i="4"/>
  <c r="G1046" i="4" s="1"/>
  <c r="G316" i="4"/>
  <c r="D273" i="4"/>
  <c r="F149" i="4"/>
  <c r="E316" i="4"/>
  <c r="F316" i="4" s="1"/>
  <c r="F350" i="4"/>
  <c r="F400" i="4"/>
  <c r="F407" i="4"/>
  <c r="G431" i="4"/>
  <c r="F448" i="4"/>
  <c r="G448" i="4" s="1"/>
  <c r="F471" i="4"/>
  <c r="G471" i="4" s="1"/>
  <c r="F474" i="4"/>
  <c r="G474" i="4" s="1"/>
  <c r="F476" i="4"/>
  <c r="G476" i="4" s="1"/>
  <c r="E549" i="4"/>
  <c r="F549" i="4" s="1"/>
  <c r="G549" i="4" s="1"/>
  <c r="F604" i="4"/>
  <c r="E625" i="4"/>
  <c r="F625" i="4" s="1"/>
  <c r="F657" i="4"/>
  <c r="F734" i="4"/>
  <c r="G734" i="4" s="1"/>
  <c r="E789" i="4"/>
  <c r="F789" i="4" s="1"/>
  <c r="F898" i="4"/>
  <c r="G904" i="4"/>
  <c r="F906" i="4"/>
  <c r="G911" i="4"/>
  <c r="F929" i="4"/>
  <c r="F943" i="4"/>
  <c r="F949" i="4"/>
  <c r="F1030" i="4"/>
  <c r="G1030" i="4" s="1"/>
  <c r="D656" i="4"/>
  <c r="E691" i="4"/>
  <c r="F691" i="4" s="1"/>
  <c r="G691" i="4" s="1"/>
  <c r="D738" i="4"/>
  <c r="E1078" i="4"/>
  <c r="F382" i="4"/>
  <c r="F393" i="4"/>
  <c r="F458" i="4"/>
  <c r="G458" i="4" s="1"/>
  <c r="F460" i="4"/>
  <c r="G460" i="4" s="1"/>
  <c r="F466" i="4"/>
  <c r="G466" i="4" s="1"/>
  <c r="F469" i="4"/>
  <c r="G469" i="4" s="1"/>
  <c r="G527" i="4"/>
  <c r="G526" i="4" s="1"/>
  <c r="G540" i="4"/>
  <c r="F598" i="4"/>
  <c r="F628" i="4"/>
  <c r="F646" i="4"/>
  <c r="F648" i="4"/>
  <c r="E656" i="4"/>
  <c r="F744" i="4"/>
  <c r="G744" i="4" s="1"/>
  <c r="G908" i="4"/>
  <c r="F922" i="4"/>
  <c r="F1024" i="4"/>
  <c r="G1024" i="4" s="1"/>
  <c r="F1034" i="4"/>
  <c r="G1034" i="4" s="1"/>
  <c r="F1079" i="4"/>
  <c r="F1081" i="4"/>
  <c r="D1078" i="4"/>
  <c r="D1077" i="4" s="1"/>
  <c r="F1092" i="4"/>
  <c r="G1092" i="4" s="1"/>
  <c r="G229" i="4"/>
  <c r="E92" i="4"/>
  <c r="F92" i="4" s="1"/>
  <c r="G92" i="4" s="1"/>
  <c r="E15" i="4"/>
  <c r="F15" i="4" s="1"/>
  <c r="G15" i="4" s="1"/>
  <c r="F88" i="4"/>
  <c r="G88" i="4" s="1"/>
  <c r="F93" i="4"/>
  <c r="G93" i="4" s="1"/>
  <c r="E1051" i="3"/>
  <c r="F1051" i="3" s="1"/>
  <c r="D1253" i="3"/>
  <c r="D1252" i="3" s="1"/>
  <c r="E1261" i="3"/>
  <c r="F1261" i="3" s="1"/>
  <c r="F1088" i="2"/>
  <c r="F1087" i="2" s="1"/>
  <c r="E1960" i="2"/>
  <c r="G1960" i="2" s="1"/>
  <c r="E5612" i="2"/>
  <c r="E5611" i="2" s="1"/>
  <c r="E3473" i="2"/>
  <c r="H1483" i="2"/>
  <c r="H1482" i="2" s="1"/>
  <c r="H2919" i="2"/>
  <c r="F1304" i="2"/>
  <c r="F1303" i="2" s="1"/>
  <c r="G1303" i="2" s="1"/>
  <c r="G1631" i="2"/>
  <c r="E3704" i="2"/>
  <c r="F3853" i="2"/>
  <c r="G3854" i="2"/>
  <c r="F4366" i="2"/>
  <c r="G3877" i="2"/>
  <c r="F3876" i="2"/>
  <c r="G3876" i="2" s="1"/>
  <c r="E5298" i="2"/>
  <c r="G5298" i="2" s="1"/>
  <c r="H1534" i="2"/>
  <c r="G1618" i="2"/>
  <c r="E3481" i="2"/>
  <c r="F2452" i="2"/>
  <c r="G2452" i="2" s="1"/>
  <c r="H2452" i="2" s="1"/>
  <c r="E4600" i="2"/>
  <c r="F645" i="2"/>
  <c r="F2313" i="2"/>
  <c r="G2322" i="2"/>
  <c r="E5262" i="2"/>
  <c r="E2283" i="2"/>
  <c r="G1867" i="2"/>
  <c r="G2009" i="2"/>
  <c r="E2888" i="2"/>
  <c r="H4663" i="2"/>
  <c r="E5048" i="2"/>
  <c r="F5593" i="2"/>
  <c r="E4366" i="2"/>
  <c r="H4366" i="2" s="1"/>
  <c r="H1061" i="2"/>
  <c r="H1060" i="2" s="1"/>
  <c r="E1906" i="2"/>
  <c r="E1981" i="2"/>
  <c r="E2684" i="2"/>
  <c r="E2895" i="2"/>
  <c r="H4627" i="2"/>
  <c r="G4634" i="2"/>
  <c r="G5440" i="2"/>
  <c r="G5692" i="2"/>
  <c r="D288" i="3"/>
  <c r="E589" i="3"/>
  <c r="E618" i="3"/>
  <c r="E421" i="3"/>
  <c r="E452" i="3"/>
  <c r="C482" i="3"/>
  <c r="F907" i="3"/>
  <c r="F906" i="3" s="1"/>
  <c r="D1323" i="3"/>
  <c r="E1323" i="3" s="1"/>
  <c r="E584" i="3"/>
  <c r="E485" i="3"/>
  <c r="D588" i="3"/>
  <c r="E645" i="3"/>
  <c r="E764" i="3"/>
  <c r="E1154" i="3"/>
  <c r="E194" i="3"/>
  <c r="F194" i="3" s="1"/>
  <c r="C515" i="3"/>
  <c r="E652" i="3"/>
  <c r="F652" i="3" s="1"/>
  <c r="E694" i="3"/>
  <c r="D714" i="3"/>
  <c r="D713" i="3" s="1"/>
  <c r="E1149" i="3"/>
  <c r="E1181" i="3"/>
  <c r="E1287" i="3"/>
  <c r="F1287" i="3" s="1"/>
  <c r="C1322" i="3"/>
  <c r="C1321" i="3" s="1"/>
  <c r="E1344" i="3"/>
  <c r="E1359" i="3"/>
  <c r="C1041" i="3"/>
  <c r="C1040" i="3" s="1"/>
  <c r="D464" i="3"/>
  <c r="E160" i="3"/>
  <c r="F160" i="3" s="1"/>
  <c r="E173" i="3"/>
  <c r="F173" i="3" s="1"/>
  <c r="C288" i="3"/>
  <c r="D370" i="3"/>
  <c r="C370" i="3"/>
  <c r="C369" i="3" s="1"/>
  <c r="E427" i="3"/>
  <c r="D790" i="3"/>
  <c r="E790" i="3" s="1"/>
  <c r="F1129" i="3"/>
  <c r="D1226" i="3"/>
  <c r="E1238" i="3"/>
  <c r="E1275" i="3"/>
  <c r="F1275" i="3" s="1"/>
  <c r="E1296" i="3"/>
  <c r="F1296" i="3" s="1"/>
  <c r="E1300" i="3"/>
  <c r="F1300" i="3" s="1"/>
  <c r="E1368" i="3"/>
  <c r="E446" i="3"/>
  <c r="D482" i="3"/>
  <c r="E312" i="3"/>
  <c r="F312" i="3" s="1"/>
  <c r="D311" i="3"/>
  <c r="C253" i="3"/>
  <c r="D305" i="3"/>
  <c r="E305" i="3" s="1"/>
  <c r="E459" i="3"/>
  <c r="E465" i="3"/>
  <c r="E479" i="3"/>
  <c r="E574" i="3"/>
  <c r="C588" i="3"/>
  <c r="C587" i="3" s="1"/>
  <c r="E599" i="3"/>
  <c r="D617" i="3"/>
  <c r="D616" i="3" s="1"/>
  <c r="E649" i="3"/>
  <c r="D664" i="3"/>
  <c r="D663" i="3" s="1"/>
  <c r="E679" i="3"/>
  <c r="E762" i="3"/>
  <c r="E926" i="3"/>
  <c r="E1042" i="3"/>
  <c r="F1042" i="3" s="1"/>
  <c r="E1074" i="3"/>
  <c r="F1074" i="3" s="1"/>
  <c r="C1136" i="3"/>
  <c r="C1135" i="3" s="1"/>
  <c r="C1164" i="3"/>
  <c r="C1163" i="3" s="1"/>
  <c r="F1178" i="3"/>
  <c r="F1164" i="3" s="1"/>
  <c r="F1163" i="3" s="1"/>
  <c r="E1236" i="3"/>
  <c r="E1242" i="3"/>
  <c r="E1293" i="3"/>
  <c r="F1293" i="3" s="1"/>
  <c r="E1304" i="3"/>
  <c r="F1304" i="3" s="1"/>
  <c r="D318" i="3"/>
  <c r="F649" i="3"/>
  <c r="E861" i="3"/>
  <c r="E186" i="3"/>
  <c r="F186" i="3" s="1"/>
  <c r="D223" i="3"/>
  <c r="E223" i="3" s="1"/>
  <c r="C197" i="3"/>
  <c r="E275" i="3"/>
  <c r="F275" i="3" s="1"/>
  <c r="E291" i="3"/>
  <c r="F291" i="3" s="1"/>
  <c r="C464" i="3"/>
  <c r="E474" i="3"/>
  <c r="E565" i="3"/>
  <c r="F599" i="3"/>
  <c r="F598" i="3" s="1"/>
  <c r="E639" i="3"/>
  <c r="E654" i="3"/>
  <c r="F654" i="3" s="1"/>
  <c r="F722" i="3"/>
  <c r="F721" i="3" s="1"/>
  <c r="D722" i="3"/>
  <c r="D721" i="3" s="1"/>
  <c r="E782" i="3"/>
  <c r="E786" i="3"/>
  <c r="E862" i="3"/>
  <c r="E1013" i="3"/>
  <c r="D1089" i="3"/>
  <c r="E1089" i="3" s="1"/>
  <c r="F1115" i="3"/>
  <c r="C1114" i="3"/>
  <c r="C1113" i="3" s="1"/>
  <c r="E1302" i="3"/>
  <c r="F1302" i="3" s="1"/>
  <c r="C617" i="3"/>
  <c r="F955" i="3"/>
  <c r="E105" i="3"/>
  <c r="F105" i="3" s="1"/>
  <c r="D137" i="3"/>
  <c r="E137" i="3" s="1"/>
  <c r="F137" i="3" s="1"/>
  <c r="F223" i="3"/>
  <c r="F222" i="3" s="1"/>
  <c r="E285" i="3"/>
  <c r="F285" i="3" s="1"/>
  <c r="E294" i="3"/>
  <c r="F294" i="3" s="1"/>
  <c r="C318" i="3"/>
  <c r="E330" i="3"/>
  <c r="C438" i="3"/>
  <c r="E569" i="3"/>
  <c r="E579" i="3"/>
  <c r="F664" i="3"/>
  <c r="F663" i="3" s="1"/>
  <c r="E1014" i="3"/>
  <c r="E1023" i="3"/>
  <c r="D1041" i="3"/>
  <c r="E1090" i="3"/>
  <c r="E1115" i="3"/>
  <c r="E300" i="3"/>
  <c r="F300" i="3" s="1"/>
  <c r="E306" i="3"/>
  <c r="F306" i="3" s="1"/>
  <c r="F4413" i="2"/>
  <c r="G4413" i="2" s="1"/>
  <c r="H4413" i="2" s="1"/>
  <c r="E2729" i="2"/>
  <c r="E2728" i="2" s="1"/>
  <c r="G2728" i="2" s="1"/>
  <c r="E1304" i="2"/>
  <c r="F3863" i="2"/>
  <c r="F2972" i="2"/>
  <c r="G2972" i="2" s="1"/>
  <c r="G5405" i="2"/>
  <c r="G5410" i="2"/>
  <c r="G5676" i="2"/>
  <c r="G2891" i="2"/>
  <c r="G2913" i="2"/>
  <c r="G2916" i="2"/>
  <c r="G2926" i="2"/>
  <c r="H234" i="2"/>
  <c r="E1681" i="2"/>
  <c r="E5081" i="2"/>
  <c r="H245" i="2"/>
  <c r="H646" i="2"/>
  <c r="H645" i="2" s="1"/>
  <c r="H1925" i="2"/>
  <c r="F4104" i="2"/>
  <c r="E5059" i="2"/>
  <c r="G5085" i="2"/>
  <c r="H5085" i="2" s="1"/>
  <c r="G5090" i="2"/>
  <c r="H5090" i="2" s="1"/>
  <c r="E5413" i="2"/>
  <c r="H363" i="2"/>
  <c r="H367" i="2"/>
  <c r="H384" i="2"/>
  <c r="E675" i="2"/>
  <c r="E1088" i="2"/>
  <c r="G1088" i="2" s="1"/>
  <c r="E2181" i="2"/>
  <c r="E4512" i="2"/>
  <c r="F5059" i="2"/>
  <c r="E5200" i="2"/>
  <c r="H5665" i="2"/>
  <c r="H2453" i="2"/>
  <c r="H2456" i="2"/>
  <c r="F5200" i="2"/>
  <c r="G5200" i="2" s="1"/>
  <c r="E5554" i="2"/>
  <c r="E5553" i="2" s="1"/>
  <c r="G1640" i="2"/>
  <c r="G1658" i="2"/>
  <c r="E2654" i="2"/>
  <c r="E2653" i="2" s="1"/>
  <c r="G2659" i="2"/>
  <c r="H2659" i="2" s="1"/>
  <c r="H3227" i="2"/>
  <c r="E3671" i="2"/>
  <c r="G4414" i="2"/>
  <c r="G5330" i="2"/>
  <c r="E5691" i="2"/>
  <c r="G2999" i="2"/>
  <c r="G3011" i="2"/>
  <c r="G5617" i="2"/>
  <c r="F1073" i="2"/>
  <c r="G1073" i="2" s="1"/>
  <c r="G2482" i="2"/>
  <c r="G2837" i="2"/>
  <c r="F4270" i="2"/>
  <c r="G4270" i="2" s="1"/>
  <c r="F816" i="2"/>
  <c r="G816" i="2" s="1"/>
  <c r="E1131" i="2"/>
  <c r="G1131" i="2" s="1"/>
  <c r="H1227" i="2"/>
  <c r="G1661" i="2"/>
  <c r="H1839" i="2"/>
  <c r="G2078" i="2"/>
  <c r="F2181" i="2"/>
  <c r="G2335" i="2"/>
  <c r="G2341" i="2"/>
  <c r="F2382" i="2"/>
  <c r="H2396" i="2"/>
  <c r="G2794" i="2"/>
  <c r="E3604" i="2"/>
  <c r="F4266" i="2"/>
  <c r="G4266" i="2" s="1"/>
  <c r="G528" i="2"/>
  <c r="H816" i="2"/>
  <c r="H1367" i="2"/>
  <c r="H1366" i="2" s="1"/>
  <c r="G2453" i="2"/>
  <c r="H965" i="2"/>
  <c r="G1819" i="2"/>
  <c r="G1909" i="2"/>
  <c r="G2764" i="2"/>
  <c r="G2773" i="2"/>
  <c r="F5048" i="2"/>
  <c r="G5048" i="2" s="1"/>
  <c r="H5048" i="2" s="1"/>
  <c r="G5192" i="2"/>
  <c r="G5194" i="2"/>
  <c r="H490" i="2"/>
  <c r="G681" i="2"/>
  <c r="G1708" i="2"/>
  <c r="G5694" i="2"/>
  <c r="G1100" i="2"/>
  <c r="H4045" i="2"/>
  <c r="G4422" i="2"/>
  <c r="H4422" i="2" s="1"/>
  <c r="G4428" i="2"/>
  <c r="H4428" i="2" s="1"/>
  <c r="E4456" i="2"/>
  <c r="G4456" i="2" s="1"/>
  <c r="H4456" i="2" s="1"/>
  <c r="E4461" i="2"/>
  <c r="E5382" i="2"/>
  <c r="E5471" i="2"/>
  <c r="E126" i="3"/>
  <c r="F126" i="3" s="1"/>
  <c r="E146" i="3"/>
  <c r="F146" i="3" s="1"/>
  <c r="E295" i="3"/>
  <c r="F295" i="3" s="1"/>
  <c r="D299" i="3"/>
  <c r="E319" i="3"/>
  <c r="F318" i="3"/>
  <c r="F317" i="3" s="1"/>
  <c r="E360" i="3"/>
  <c r="E359" i="3" s="1"/>
  <c r="C359" i="3"/>
  <c r="E1676" i="2"/>
  <c r="G1679" i="2"/>
  <c r="F3857" i="2"/>
  <c r="C114" i="3"/>
  <c r="E167" i="3"/>
  <c r="F167" i="3" s="1"/>
  <c r="E189" i="3"/>
  <c r="F189" i="3" s="1"/>
  <c r="E198" i="3"/>
  <c r="F198" i="3" s="1"/>
  <c r="E254" i="3"/>
  <c r="F254" i="3" s="1"/>
  <c r="E277" i="3"/>
  <c r="F277" i="3" s="1"/>
  <c r="E282" i="3"/>
  <c r="F282" i="3" s="1"/>
  <c r="E302" i="3"/>
  <c r="F302" i="3" s="1"/>
  <c r="H271" i="2"/>
  <c r="H466" i="2"/>
  <c r="G683" i="2"/>
  <c r="G1089" i="2"/>
  <c r="G1422" i="2"/>
  <c r="E1787" i="2"/>
  <c r="G2456" i="2"/>
  <c r="E2498" i="2"/>
  <c r="G2498" i="2" s="1"/>
  <c r="G3023" i="2"/>
  <c r="G3025" i="2"/>
  <c r="G4418" i="2"/>
  <c r="H4418" i="2" s="1"/>
  <c r="F690" i="3"/>
  <c r="E1241" i="3"/>
  <c r="H26" i="2"/>
  <c r="H34" i="2"/>
  <c r="E16" i="2"/>
  <c r="H291" i="2"/>
  <c r="H484" i="2"/>
  <c r="E645" i="2"/>
  <c r="F840" i="2"/>
  <c r="G840" i="2" s="1"/>
  <c r="E1608" i="2"/>
  <c r="G1627" i="2"/>
  <c r="G1667" i="2"/>
  <c r="G1699" i="2"/>
  <c r="G1753" i="2"/>
  <c r="F1925" i="2"/>
  <c r="E2224" i="2"/>
  <c r="G4628" i="2"/>
  <c r="G4641" i="2"/>
  <c r="G5082" i="2"/>
  <c r="H5082" i="2" s="1"/>
  <c r="H5182" i="2"/>
  <c r="H5322" i="2"/>
  <c r="H5321" i="2" s="1"/>
  <c r="H5554" i="2"/>
  <c r="G5594" i="2"/>
  <c r="G5596" i="2"/>
  <c r="G5606" i="2"/>
  <c r="G5608" i="2"/>
  <c r="G5632" i="2"/>
  <c r="G5634" i="2"/>
  <c r="G5698" i="2"/>
  <c r="G5700" i="2"/>
  <c r="E156" i="3"/>
  <c r="F156" i="3" s="1"/>
  <c r="D185" i="3"/>
  <c r="E185" i="3" s="1"/>
  <c r="F185" i="3" s="1"/>
  <c r="D193" i="3"/>
  <c r="E260" i="3"/>
  <c r="F260" i="3" s="1"/>
  <c r="E289" i="3"/>
  <c r="F289" i="3" s="1"/>
  <c r="F588" i="3"/>
  <c r="C664" i="3"/>
  <c r="C663" i="3" s="1"/>
  <c r="E1254" i="3"/>
  <c r="F1254" i="3" s="1"/>
  <c r="F352" i="4"/>
  <c r="G393" i="4"/>
  <c r="G1004" i="4"/>
  <c r="E470" i="3"/>
  <c r="E483" i="3"/>
  <c r="E537" i="3"/>
  <c r="C536" i="3"/>
  <c r="F626" i="3"/>
  <c r="F639" i="3"/>
  <c r="E642" i="3"/>
  <c r="E658" i="3"/>
  <c r="F658" i="3" s="1"/>
  <c r="E673" i="3"/>
  <c r="E715" i="3"/>
  <c r="F715" i="3" s="1"/>
  <c r="E726" i="3"/>
  <c r="E746" i="3"/>
  <c r="E771" i="3"/>
  <c r="D925" i="3"/>
  <c r="E925" i="3" s="1"/>
  <c r="F944" i="3"/>
  <c r="E1121" i="3"/>
  <c r="E1147" i="3"/>
  <c r="D1164" i="3"/>
  <c r="D1163" i="3" s="1"/>
  <c r="E1178" i="3"/>
  <c r="C1226" i="3"/>
  <c r="C1225" i="3" s="1"/>
  <c r="D269" i="4"/>
  <c r="F269" i="4" s="1"/>
  <c r="F270" i="4"/>
  <c r="F370" i="3"/>
  <c r="E439" i="3"/>
  <c r="E461" i="3"/>
  <c r="C489" i="3"/>
  <c r="D536" i="3"/>
  <c r="E549" i="3"/>
  <c r="D598" i="3"/>
  <c r="E598" i="3" s="1"/>
  <c r="F642" i="3"/>
  <c r="E671" i="3"/>
  <c r="C722" i="3"/>
  <c r="C721" i="3" s="1"/>
  <c r="E1137" i="3"/>
  <c r="E1158" i="3"/>
  <c r="E1172" i="3"/>
  <c r="E1175" i="3"/>
  <c r="E1187" i="3"/>
  <c r="E1186" i="3" s="1"/>
  <c r="E1227" i="3"/>
  <c r="C1292" i="3"/>
  <c r="C1291" i="3" s="1"/>
  <c r="E1310" i="3"/>
  <c r="E1356" i="3"/>
  <c r="C1363" i="3"/>
  <c r="C1362" i="3" s="1"/>
  <c r="E1378" i="3"/>
  <c r="F217" i="4"/>
  <c r="G217" i="4" s="1"/>
  <c r="F225" i="4"/>
  <c r="G225" i="4" s="1"/>
  <c r="F237" i="4"/>
  <c r="G237" i="4" s="1"/>
  <c r="F356" i="4"/>
  <c r="E751" i="3"/>
  <c r="E1015" i="3"/>
  <c r="D1136" i="3"/>
  <c r="E1165" i="3"/>
  <c r="F1226" i="3"/>
  <c r="E1284" i="3"/>
  <c r="F1284" i="3" s="1"/>
  <c r="E1329" i="3"/>
  <c r="F242" i="4"/>
  <c r="D241" i="4"/>
  <c r="F241" i="4" s="1"/>
  <c r="D338" i="4"/>
  <c r="D337" i="4" s="1"/>
  <c r="F387" i="4"/>
  <c r="D447" i="4"/>
  <c r="D446" i="4" s="1"/>
  <c r="F490" i="4"/>
  <c r="G490" i="4" s="1"/>
  <c r="F502" i="4"/>
  <c r="G502" i="4" s="1"/>
  <c r="F506" i="4"/>
  <c r="G506" i="4" s="1"/>
  <c r="F514" i="4"/>
  <c r="G514" i="4" s="1"/>
  <c r="F520" i="4"/>
  <c r="G520" i="4" s="1"/>
  <c r="F637" i="4"/>
  <c r="F661" i="4"/>
  <c r="F729" i="4"/>
  <c r="G729" i="4" s="1"/>
  <c r="F745" i="4"/>
  <c r="G745" i="4" s="1"/>
  <c r="G916" i="4"/>
  <c r="G274" i="4"/>
  <c r="F333" i="4"/>
  <c r="F361" i="4"/>
  <c r="F371" i="4"/>
  <c r="F438" i="4"/>
  <c r="F440" i="4"/>
  <c r="E447" i="4"/>
  <c r="E479" i="4"/>
  <c r="F479" i="4" s="1"/>
  <c r="G479" i="4" s="1"/>
  <c r="F582" i="4"/>
  <c r="F620" i="4"/>
  <c r="F622" i="4"/>
  <c r="G632" i="4"/>
  <c r="D632" i="4"/>
  <c r="G656" i="4"/>
  <c r="E866" i="4"/>
  <c r="F866" i="4" s="1"/>
  <c r="G906" i="4"/>
  <c r="F916" i="4"/>
  <c r="F927" i="4"/>
  <c r="F1067" i="4"/>
  <c r="G1067" i="4" s="1"/>
  <c r="D1066" i="4"/>
  <c r="F232" i="4"/>
  <c r="G232" i="4" s="1"/>
  <c r="F332" i="4"/>
  <c r="F342" i="4"/>
  <c r="F359" i="4"/>
  <c r="E386" i="4"/>
  <c r="D386" i="4"/>
  <c r="D385" i="4" s="1"/>
  <c r="F402" i="4"/>
  <c r="G407" i="4"/>
  <c r="F412" i="4"/>
  <c r="F415" i="4"/>
  <c r="F462" i="4"/>
  <c r="G462" i="4" s="1"/>
  <c r="E483" i="4"/>
  <c r="F485" i="4"/>
  <c r="G485" i="4" s="1"/>
  <c r="F499" i="4"/>
  <c r="G499" i="4" s="1"/>
  <c r="F517" i="4"/>
  <c r="G517" i="4" s="1"/>
  <c r="F523" i="4"/>
  <c r="G523" i="4" s="1"/>
  <c r="G579" i="4"/>
  <c r="G578" i="4" s="1"/>
  <c r="F616" i="4"/>
  <c r="G615" i="4"/>
  <c r="G614" i="4" s="1"/>
  <c r="F641" i="4"/>
  <c r="F643" i="4"/>
  <c r="D731" i="4"/>
  <c r="D716" i="4" s="1"/>
  <c r="F860" i="4"/>
  <c r="G860" i="4" s="1"/>
  <c r="D897" i="4"/>
  <c r="D896" i="4" s="1"/>
  <c r="F925" i="4"/>
  <c r="D1003" i="4"/>
  <c r="D1002" i="4" s="1"/>
  <c r="D14" i="5"/>
  <c r="D13" i="5" s="1"/>
  <c r="F656" i="4"/>
  <c r="E1003" i="4"/>
  <c r="F1003" i="4" s="1"/>
  <c r="D1023" i="4"/>
  <c r="D1022" i="4" s="1"/>
  <c r="G1100" i="4"/>
  <c r="F79" i="5"/>
  <c r="G79" i="5" s="1"/>
  <c r="F149" i="5"/>
  <c r="G149" i="5" s="1"/>
  <c r="F72" i="5"/>
  <c r="G72" i="5" s="1"/>
  <c r="F74" i="5"/>
  <c r="G74" i="5" s="1"/>
  <c r="D14" i="3"/>
  <c r="F88" i="3"/>
  <c r="E94" i="3"/>
  <c r="F94" i="3" s="1"/>
  <c r="E111" i="3"/>
  <c r="F111" i="3" s="1"/>
  <c r="E212" i="3"/>
  <c r="F212" i="3" s="1"/>
  <c r="E41" i="3"/>
  <c r="F41" i="3" s="1"/>
  <c r="E106" i="3"/>
  <c r="F106" i="3" s="1"/>
  <c r="F131" i="3"/>
  <c r="E132" i="3"/>
  <c r="F132" i="3" s="1"/>
  <c r="E216" i="3"/>
  <c r="F216" i="3" s="1"/>
  <c r="E90" i="3"/>
  <c r="F90" i="3" s="1"/>
  <c r="E100" i="3"/>
  <c r="F100" i="3" s="1"/>
  <c r="D114" i="3"/>
  <c r="D125" i="3"/>
  <c r="D172" i="3"/>
  <c r="E172" i="3" s="1"/>
  <c r="F172" i="3" s="1"/>
  <c r="E179" i="3"/>
  <c r="F179" i="3" s="1"/>
  <c r="D215" i="3"/>
  <c r="E215" i="3" s="1"/>
  <c r="F215" i="3" s="1"/>
  <c r="D145" i="3"/>
  <c r="E145" i="3" s="1"/>
  <c r="F145" i="3" s="1"/>
  <c r="E152" i="3"/>
  <c r="F152" i="3" s="1"/>
  <c r="E162" i="3"/>
  <c r="F162" i="3" s="1"/>
  <c r="E169" i="3"/>
  <c r="F169" i="3" s="1"/>
  <c r="E190" i="3"/>
  <c r="F190" i="3" s="1"/>
  <c r="E219" i="3"/>
  <c r="G659" i="2"/>
  <c r="H659" i="2" s="1"/>
  <c r="G640" i="2"/>
  <c r="H475" i="2"/>
  <c r="G404" i="2"/>
  <c r="H372" i="2"/>
  <c r="H280" i="2"/>
  <c r="H277" i="2" s="1"/>
  <c r="F624" i="2"/>
  <c r="H1136" i="2"/>
  <c r="G2058" i="2"/>
  <c r="F3491" i="2"/>
  <c r="F4549" i="2"/>
  <c r="F5554" i="2"/>
  <c r="H259" i="2"/>
  <c r="H258" i="2" s="1"/>
  <c r="G660" i="2"/>
  <c r="H660" i="2" s="1"/>
  <c r="G1411" i="2"/>
  <c r="F2132" i="2"/>
  <c r="G2849" i="2"/>
  <c r="G2851" i="2"/>
  <c r="G3028" i="2"/>
  <c r="F4001" i="2"/>
  <c r="G4654" i="2"/>
  <c r="F4956" i="2"/>
  <c r="F5343" i="2"/>
  <c r="G5343" i="2" s="1"/>
  <c r="G5497" i="2"/>
  <c r="E5502" i="2"/>
  <c r="H63" i="2"/>
  <c r="H71" i="2"/>
  <c r="H163" i="2"/>
  <c r="H162" i="2" s="1"/>
  <c r="G592" i="2"/>
  <c r="G594" i="2"/>
  <c r="H986" i="2"/>
  <c r="F1030" i="2"/>
  <c r="G1030" i="2" s="1"/>
  <c r="E1254" i="2"/>
  <c r="G1254" i="2" s="1"/>
  <c r="E1267" i="2"/>
  <c r="G1267" i="2" s="1"/>
  <c r="G1583" i="2"/>
  <c r="E1724" i="2"/>
  <c r="G1762" i="2"/>
  <c r="E1766" i="2"/>
  <c r="E1757" i="2" s="1"/>
  <c r="G1769" i="2"/>
  <c r="G1778" i="2"/>
  <c r="G1805" i="2"/>
  <c r="H1823" i="2"/>
  <c r="G1889" i="2"/>
  <c r="H1919" i="2"/>
  <c r="H1916" i="2" s="1"/>
  <c r="G2093" i="2"/>
  <c r="H2093" i="2" s="1"/>
  <c r="G2118" i="2"/>
  <c r="H2118" i="2" s="1"/>
  <c r="G2120" i="2"/>
  <c r="H2120" i="2" s="1"/>
  <c r="G2215" i="2"/>
  <c r="G2227" i="2"/>
  <c r="G2239" i="2"/>
  <c r="H2239" i="2" s="1"/>
  <c r="G2251" i="2"/>
  <c r="H2572" i="2"/>
  <c r="G2698" i="2"/>
  <c r="H2698" i="2" s="1"/>
  <c r="F2935" i="2"/>
  <c r="G3561" i="2"/>
  <c r="H3561" i="2" s="1"/>
  <c r="H3552" i="2" s="1"/>
  <c r="F3552" i="2"/>
  <c r="G3552" i="2" s="1"/>
  <c r="F3910" i="2"/>
  <c r="G3910" i="2" s="1"/>
  <c r="G3911" i="2"/>
  <c r="H3246" i="2"/>
  <c r="G3250" i="2"/>
  <c r="G3442" i="2"/>
  <c r="G3514" i="2"/>
  <c r="G3529" i="2"/>
  <c r="E3545" i="2"/>
  <c r="H3546" i="2"/>
  <c r="G3572" i="2"/>
  <c r="H3572" i="2" s="1"/>
  <c r="G4037" i="2"/>
  <c r="F4208" i="2"/>
  <c r="G4208" i="2" s="1"/>
  <c r="F4433" i="2"/>
  <c r="E4483" i="2"/>
  <c r="G4489" i="2"/>
  <c r="G4500" i="2"/>
  <c r="G4504" i="2"/>
  <c r="G4529" i="2"/>
  <c r="G4550" i="2"/>
  <c r="G4560" i="2"/>
  <c r="G4571" i="2"/>
  <c r="H4571" i="2" s="1"/>
  <c r="G4572" i="2"/>
  <c r="G4582" i="2"/>
  <c r="G4588" i="2"/>
  <c r="G4595" i="2"/>
  <c r="G4611" i="2"/>
  <c r="G4906" i="2"/>
  <c r="H4906" i="2" s="1"/>
  <c r="G4907" i="2"/>
  <c r="H4907" i="2" s="1"/>
  <c r="F5005" i="2"/>
  <c r="G5049" i="2"/>
  <c r="H5049" i="2" s="1"/>
  <c r="G5052" i="2"/>
  <c r="H5052" i="2" s="1"/>
  <c r="G5056" i="2"/>
  <c r="H5056" i="2" s="1"/>
  <c r="G5060" i="2"/>
  <c r="H5060" i="2" s="1"/>
  <c r="G5063" i="2"/>
  <c r="H5063" i="2" s="1"/>
  <c r="G5068" i="2"/>
  <c r="H5068" i="2" s="1"/>
  <c r="G5094" i="2"/>
  <c r="H5094" i="2" s="1"/>
  <c r="G5130" i="2"/>
  <c r="H5130" i="2" s="1"/>
  <c r="G5146" i="2"/>
  <c r="H5146" i="2" s="1"/>
  <c r="G5240" i="2"/>
  <c r="G5277" i="2"/>
  <c r="G5279" i="2"/>
  <c r="G5284" i="2"/>
  <c r="G5287" i="2"/>
  <c r="G5490" i="2"/>
  <c r="E5519" i="2"/>
  <c r="E5518" i="2" s="1"/>
  <c r="H114" i="2"/>
  <c r="H43" i="2"/>
  <c r="H17" i="2"/>
  <c r="G43" i="2"/>
  <c r="G530" i="2"/>
  <c r="G534" i="2"/>
  <c r="G552" i="2"/>
  <c r="G575" i="2"/>
  <c r="G5574" i="2"/>
  <c r="G5643" i="2"/>
  <c r="E516" i="2"/>
  <c r="G538" i="2"/>
  <c r="G607" i="2"/>
  <c r="H905" i="2"/>
  <c r="G1934" i="2"/>
  <c r="H1938" i="2"/>
  <c r="H1937" i="2" s="1"/>
  <c r="G2028" i="2"/>
  <c r="H2078" i="2"/>
  <c r="F4084" i="2"/>
  <c r="G4084" i="2" s="1"/>
  <c r="H4406" i="2"/>
  <c r="G4406" i="2"/>
  <c r="G158" i="2"/>
  <c r="E1241" i="2"/>
  <c r="G1241" i="2" s="1"/>
  <c r="H1516" i="2"/>
  <c r="H1515" i="2" s="1"/>
  <c r="G1691" i="2"/>
  <c r="G1712" i="2"/>
  <c r="G1773" i="2"/>
  <c r="G1794" i="2"/>
  <c r="H1853" i="2"/>
  <c r="F1981" i="2"/>
  <c r="G2000" i="2"/>
  <c r="G2088" i="2"/>
  <c r="H2088" i="2" s="1"/>
  <c r="F2096" i="2"/>
  <c r="G2103" i="2"/>
  <c r="H2103" i="2" s="1"/>
  <c r="G2140" i="2"/>
  <c r="H2140" i="2" s="1"/>
  <c r="E2139" i="2"/>
  <c r="G2165" i="2"/>
  <c r="H2165" i="2" s="1"/>
  <c r="F2353" i="2"/>
  <c r="H2548" i="2"/>
  <c r="E2558" i="2"/>
  <c r="G2558" i="2" s="1"/>
  <c r="E2585" i="2"/>
  <c r="G2585" i="2" s="1"/>
  <c r="E2590" i="2"/>
  <c r="G2590" i="2" s="1"/>
  <c r="G2681" i="2"/>
  <c r="H2681" i="2" s="1"/>
  <c r="G2704" i="2"/>
  <c r="H2704" i="2" s="1"/>
  <c r="G2936" i="2"/>
  <c r="E2953" i="2"/>
  <c r="F3896" i="2"/>
  <c r="G3896" i="2" s="1"/>
  <c r="G3897" i="2"/>
  <c r="G3936" i="2"/>
  <c r="F3933" i="2"/>
  <c r="G3933" i="2" s="1"/>
  <c r="E4676" i="2"/>
  <c r="G5206" i="2"/>
  <c r="G5299" i="2"/>
  <c r="F5489" i="2"/>
  <c r="G2962" i="2"/>
  <c r="G2969" i="2"/>
  <c r="G3033" i="2"/>
  <c r="G3113" i="2"/>
  <c r="G3263" i="2"/>
  <c r="G3474" i="2"/>
  <c r="G3681" i="2"/>
  <c r="G3682" i="2"/>
  <c r="H3682" i="2" s="1"/>
  <c r="H3681" i="2" s="1"/>
  <c r="G3853" i="2"/>
  <c r="F3860" i="2"/>
  <c r="G4346" i="2"/>
  <c r="G4352" i="2"/>
  <c r="G4360" i="2"/>
  <c r="G4362" i="2"/>
  <c r="G4367" i="2"/>
  <c r="G4369" i="2"/>
  <c r="G4373" i="2"/>
  <c r="G4375" i="2"/>
  <c r="G4377" i="2"/>
  <c r="G4380" i="2"/>
  <c r="G4383" i="2"/>
  <c r="G4385" i="2"/>
  <c r="G4390" i="2"/>
  <c r="G4392" i="2"/>
  <c r="G4396" i="2"/>
  <c r="G4398" i="2"/>
  <c r="G4400" i="2"/>
  <c r="G4403" i="2"/>
  <c r="G4404" i="2"/>
  <c r="G4438" i="2"/>
  <c r="H4438" i="2" s="1"/>
  <c r="G4624" i="2"/>
  <c r="G4623" i="2" s="1"/>
  <c r="G4712" i="2"/>
  <c r="H4712" i="2" s="1"/>
  <c r="H4727" i="2"/>
  <c r="H4734" i="2"/>
  <c r="G4855" i="2"/>
  <c r="G4864" i="2"/>
  <c r="G4869" i="2"/>
  <c r="G4870" i="2"/>
  <c r="G4919" i="2"/>
  <c r="H4919" i="2" s="1"/>
  <c r="G4939" i="2"/>
  <c r="H4939" i="2" s="1"/>
  <c r="G4974" i="2"/>
  <c r="H4974" i="2" s="1"/>
  <c r="F5115" i="2"/>
  <c r="F5133" i="2"/>
  <c r="F5150" i="2"/>
  <c r="G5255" i="2"/>
  <c r="G5376" i="2"/>
  <c r="G5480" i="2"/>
  <c r="G5481" i="2"/>
  <c r="F5496" i="2"/>
  <c r="G5657" i="2"/>
  <c r="G4750" i="2"/>
  <c r="H4750" i="2" s="1"/>
  <c r="G4746" i="2"/>
  <c r="H4746" i="2" s="1"/>
  <c r="G4828" i="2"/>
  <c r="H4828" i="2" s="1"/>
  <c r="G224" i="2"/>
  <c r="F688" i="2"/>
  <c r="G688" i="2" s="1"/>
  <c r="G925" i="2"/>
  <c r="F924" i="2"/>
  <c r="G924" i="2" s="1"/>
  <c r="H1088" i="2"/>
  <c r="G1299" i="2"/>
  <c r="E1298" i="2"/>
  <c r="G1298" i="2" s="1"/>
  <c r="H1891" i="2"/>
  <c r="G804" i="2"/>
  <c r="F803" i="2"/>
  <c r="G803" i="2" s="1"/>
  <c r="F998" i="2"/>
  <c r="H998" i="2"/>
  <c r="H997" i="2" s="1"/>
  <c r="F1054" i="2"/>
  <c r="G1054" i="2" s="1"/>
  <c r="F1061" i="2"/>
  <c r="G1061" i="2" s="1"/>
  <c r="G1182" i="2"/>
  <c r="E1176" i="2"/>
  <c r="G1176" i="2" s="1"/>
  <c r="G1202" i="2"/>
  <c r="E1201" i="2"/>
  <c r="G1201" i="2" s="1"/>
  <c r="H2058" i="2"/>
  <c r="E2045" i="2"/>
  <c r="F2878" i="2"/>
  <c r="G2878" i="2" s="1"/>
  <c r="F2919" i="2"/>
  <c r="G2976" i="2"/>
  <c r="G3461" i="2"/>
  <c r="F3460" i="2"/>
  <c r="G3460" i="2" s="1"/>
  <c r="G3525" i="2"/>
  <c r="F3524" i="2"/>
  <c r="G3524" i="2" s="1"/>
  <c r="G3767" i="2"/>
  <c r="F3766" i="2"/>
  <c r="G3766" i="2" s="1"/>
  <c r="G3771" i="2"/>
  <c r="F3770" i="2"/>
  <c r="G3770" i="2" s="1"/>
  <c r="G3813" i="2"/>
  <c r="F3812" i="2"/>
  <c r="G3812" i="2" s="1"/>
  <c r="G4180" i="2"/>
  <c r="F4179" i="2"/>
  <c r="G4179" i="2" s="1"/>
  <c r="G4287" i="2"/>
  <c r="F4286" i="2"/>
  <c r="G4286" i="2" s="1"/>
  <c r="G4665" i="2"/>
  <c r="E4664" i="2"/>
  <c r="G4664" i="2" s="1"/>
  <c r="G4801" i="2"/>
  <c r="H4801" i="2" s="1"/>
  <c r="G4800" i="2"/>
  <c r="H4800" i="2" s="1"/>
  <c r="G5648" i="2"/>
  <c r="F5647" i="2"/>
  <c r="G5647" i="2" s="1"/>
  <c r="G358" i="2"/>
  <c r="G359" i="2"/>
  <c r="F403" i="2"/>
  <c r="G415" i="2"/>
  <c r="G545" i="2"/>
  <c r="G549" i="2"/>
  <c r="G555" i="2"/>
  <c r="G556" i="2"/>
  <c r="G583" i="2"/>
  <c r="G621" i="2"/>
  <c r="G625" i="2"/>
  <c r="E624" i="2"/>
  <c r="G632" i="2"/>
  <c r="G634" i="2"/>
  <c r="G655" i="2"/>
  <c r="G676" i="2"/>
  <c r="H803" i="2"/>
  <c r="H985" i="2"/>
  <c r="H1011" i="2"/>
  <c r="H1037" i="2"/>
  <c r="H1304" i="2"/>
  <c r="H1303" i="2" s="1"/>
  <c r="G1361" i="2"/>
  <c r="H1472" i="2"/>
  <c r="H1471" i="2" s="1"/>
  <c r="H1508" i="2"/>
  <c r="H1507" i="2" s="1"/>
  <c r="H1527" i="2"/>
  <c r="H1526" i="2" s="1"/>
  <c r="G1609" i="2"/>
  <c r="G1614" i="2"/>
  <c r="G1621" i="2"/>
  <c r="G1629" i="2"/>
  <c r="G1635" i="2"/>
  <c r="G1638" i="2"/>
  <c r="G1650" i="2"/>
  <c r="G1664" i="2"/>
  <c r="F1676" i="2"/>
  <c r="G1677" i="2"/>
  <c r="G1689" i="2"/>
  <c r="G1695" i="2"/>
  <c r="E1715" i="2"/>
  <c r="G1718" i="2"/>
  <c r="G1725" i="2"/>
  <c r="G1730" i="2"/>
  <c r="G1739" i="2"/>
  <c r="G1743" i="2"/>
  <c r="F1766" i="2"/>
  <c r="G1767" i="2"/>
  <c r="G1771" i="2"/>
  <c r="G1775" i="2"/>
  <c r="G1784" i="2"/>
  <c r="G1790" i="2"/>
  <c r="G1799" i="2"/>
  <c r="G1800" i="2"/>
  <c r="H1805" i="2"/>
  <c r="G1821" i="2"/>
  <c r="G1823" i="2"/>
  <c r="F1830" i="2"/>
  <c r="G1860" i="2"/>
  <c r="G1872" i="2"/>
  <c r="G1891" i="2"/>
  <c r="G1898" i="2"/>
  <c r="G1900" i="2"/>
  <c r="G1917" i="2"/>
  <c r="G1926" i="2"/>
  <c r="G1964" i="2"/>
  <c r="G1966" i="2"/>
  <c r="H1990" i="2"/>
  <c r="G2016" i="2"/>
  <c r="F2027" i="2"/>
  <c r="H2030" i="2"/>
  <c r="H2027" i="2" s="1"/>
  <c r="E2027" i="2"/>
  <c r="G2046" i="2"/>
  <c r="G2074" i="2"/>
  <c r="G2109" i="2"/>
  <c r="H2109" i="2" s="1"/>
  <c r="G2111" i="2"/>
  <c r="H2111" i="2" s="1"/>
  <c r="G2125" i="2"/>
  <c r="H2125" i="2" s="1"/>
  <c r="G2133" i="2"/>
  <c r="H2133" i="2" s="1"/>
  <c r="G2150" i="2"/>
  <c r="H2150" i="2" s="1"/>
  <c r="E2149" i="2"/>
  <c r="G2154" i="2"/>
  <c r="H2154" i="2" s="1"/>
  <c r="F2164" i="2"/>
  <c r="G2169" i="2"/>
  <c r="H2169" i="2" s="1"/>
  <c r="G2182" i="2"/>
  <c r="H2182" i="2" s="1"/>
  <c r="G2187" i="2"/>
  <c r="H2187" i="2" s="1"/>
  <c r="G2191" i="2"/>
  <c r="H2191" i="2" s="1"/>
  <c r="G2194" i="2"/>
  <c r="H2194" i="2" s="1"/>
  <c r="G2195" i="2"/>
  <c r="H2195" i="2" s="1"/>
  <c r="G2205" i="2"/>
  <c r="H2205" i="2" s="1"/>
  <c r="G2209" i="2"/>
  <c r="H2209" i="2" s="1"/>
  <c r="G2210" i="2"/>
  <c r="H2210" i="2" s="1"/>
  <c r="F2214" i="2"/>
  <c r="G2221" i="2"/>
  <c r="H2221" i="2" s="1"/>
  <c r="F2238" i="2"/>
  <c r="G2243" i="2"/>
  <c r="H2243" i="2" s="1"/>
  <c r="G2257" i="2"/>
  <c r="H2257" i="2" s="1"/>
  <c r="G2354" i="2"/>
  <c r="H2354" i="2" s="1"/>
  <c r="G2359" i="2"/>
  <c r="H2359" i="2" s="1"/>
  <c r="E2353" i="2"/>
  <c r="G2480" i="2"/>
  <c r="G2488" i="2"/>
  <c r="H2511" i="2"/>
  <c r="G2519" i="2"/>
  <c r="H2538" i="2"/>
  <c r="H2596" i="2"/>
  <c r="G2669" i="2"/>
  <c r="H2669" i="2" s="1"/>
  <c r="G2670" i="2"/>
  <c r="H2670" i="2" s="1"/>
  <c r="G2701" i="2"/>
  <c r="H2701" i="2" s="1"/>
  <c r="F2740" i="2"/>
  <c r="G2741" i="2"/>
  <c r="E2740" i="2"/>
  <c r="G2797" i="2"/>
  <c r="G2820" i="2"/>
  <c r="G2822" i="2"/>
  <c r="G2824" i="2"/>
  <c r="H2848" i="2"/>
  <c r="G2854" i="2"/>
  <c r="G2861" i="2"/>
  <c r="G2863" i="2"/>
  <c r="G2879" i="2"/>
  <c r="G2905" i="2"/>
  <c r="G2920" i="2"/>
  <c r="G2930" i="2"/>
  <c r="E2929" i="2"/>
  <c r="E2935" i="2"/>
  <c r="G2938" i="2"/>
  <c r="G2941" i="2"/>
  <c r="E2968" i="2"/>
  <c r="G2968" i="2" s="1"/>
  <c r="G2977" i="2"/>
  <c r="G2981" i="2"/>
  <c r="G3001" i="2"/>
  <c r="G3018" i="2"/>
  <c r="E3032" i="2"/>
  <c r="G3032" i="2" s="1"/>
  <c r="G3126" i="2"/>
  <c r="G3128" i="2"/>
  <c r="E3136" i="2"/>
  <c r="F3166" i="2"/>
  <c r="G3166" i="2" s="1"/>
  <c r="F3178" i="2"/>
  <c r="G3178" i="2" s="1"/>
  <c r="F3194" i="2"/>
  <c r="G3194" i="2" s="1"/>
  <c r="F3269" i="2"/>
  <c r="G3269" i="2" s="1"/>
  <c r="H3269" i="2" s="1"/>
  <c r="F3298" i="2"/>
  <c r="G3298" i="2" s="1"/>
  <c r="H3298" i="2" s="1"/>
  <c r="G3417" i="2"/>
  <c r="G3427" i="2"/>
  <c r="G3430" i="2"/>
  <c r="G3439" i="2"/>
  <c r="F3437" i="2"/>
  <c r="G3437" i="2" s="1"/>
  <c r="G3638" i="2"/>
  <c r="H3638" i="2" s="1"/>
  <c r="F3637" i="2"/>
  <c r="G3739" i="2"/>
  <c r="F3738" i="2"/>
  <c r="G3738" i="2" s="1"/>
  <c r="G3800" i="2"/>
  <c r="F3799" i="2"/>
  <c r="G3799" i="2" s="1"/>
  <c r="H4090" i="2"/>
  <c r="G4197" i="2"/>
  <c r="H4197" i="2" s="1"/>
  <c r="F4194" i="2"/>
  <c r="G4194" i="2" s="1"/>
  <c r="G4615" i="2"/>
  <c r="G4614" i="2" s="1"/>
  <c r="F4614" i="2"/>
  <c r="G4771" i="2"/>
  <c r="H4771" i="2" s="1"/>
  <c r="G4770" i="2"/>
  <c r="H4770" i="2" s="1"/>
  <c r="G4810" i="2"/>
  <c r="H4810" i="2" s="1"/>
  <c r="G4809" i="2"/>
  <c r="H4809" i="2" s="1"/>
  <c r="G4819" i="2"/>
  <c r="H4819" i="2" s="1"/>
  <c r="G4818" i="2"/>
  <c r="H4818" i="2" s="1"/>
  <c r="H4854" i="2"/>
  <c r="F4895" i="2"/>
  <c r="G4935" i="2"/>
  <c r="F4934" i="2"/>
  <c r="G4934" i="2" s="1"/>
  <c r="G5170" i="2"/>
  <c r="H5170" i="2" s="1"/>
  <c r="G3435" i="2"/>
  <c r="G3446" i="2"/>
  <c r="G3450" i="2"/>
  <c r="G3456" i="2"/>
  <c r="G3465" i="2"/>
  <c r="G3469" i="2"/>
  <c r="G3482" i="2"/>
  <c r="G3488" i="2"/>
  <c r="G3495" i="2"/>
  <c r="G3500" i="2"/>
  <c r="G3506" i="2"/>
  <c r="G3521" i="2"/>
  <c r="G3534" i="2"/>
  <c r="G3546" i="2"/>
  <c r="G3574" i="2"/>
  <c r="H3574" i="2" s="1"/>
  <c r="G3620" i="2"/>
  <c r="H3620" i="2" s="1"/>
  <c r="G3678" i="2"/>
  <c r="H3678" i="2" s="1"/>
  <c r="G3844" i="2"/>
  <c r="F3945" i="2"/>
  <c r="F3944" i="2" s="1"/>
  <c r="F3943" i="2" s="1"/>
  <c r="G3964" i="2"/>
  <c r="H4075" i="2"/>
  <c r="H4074" i="2" s="1"/>
  <c r="H4073" i="2" s="1"/>
  <c r="H4085" i="2"/>
  <c r="G4090" i="2"/>
  <c r="G4095" i="2"/>
  <c r="H4095" i="2" s="1"/>
  <c r="G4138" i="2"/>
  <c r="H4138" i="2"/>
  <c r="G4409" i="2"/>
  <c r="G4410" i="2"/>
  <c r="G4434" i="2"/>
  <c r="H4434" i="2" s="1"/>
  <c r="G4442" i="2"/>
  <c r="H4442" i="2" s="1"/>
  <c r="G4445" i="2"/>
  <c r="H4445" i="2" s="1"/>
  <c r="G4449" i="2"/>
  <c r="H4449" i="2" s="1"/>
  <c r="G4450" i="2"/>
  <c r="H4450" i="2" s="1"/>
  <c r="F4461" i="2"/>
  <c r="G4496" i="2"/>
  <c r="G4545" i="2"/>
  <c r="G4563" i="2"/>
  <c r="G4566" i="2"/>
  <c r="G4576" i="2"/>
  <c r="G4585" i="2"/>
  <c r="G4593" i="2"/>
  <c r="G4597" i="2"/>
  <c r="G4603" i="2"/>
  <c r="G4607" i="2"/>
  <c r="F4627" i="2"/>
  <c r="G4636" i="2"/>
  <c r="G4644" i="2"/>
  <c r="G4648" i="2"/>
  <c r="G4658" i="2"/>
  <c r="G4671" i="2"/>
  <c r="G4848" i="2"/>
  <c r="H4848" i="2" s="1"/>
  <c r="F4854" i="2"/>
  <c r="F4853" i="2" s="1"/>
  <c r="G4881" i="2"/>
  <c r="H4881" i="2"/>
  <c r="G4885" i="2"/>
  <c r="H4885" i="2" s="1"/>
  <c r="G4889" i="2"/>
  <c r="H4889" i="2" s="1"/>
  <c r="G4892" i="2"/>
  <c r="H4892" i="2" s="1"/>
  <c r="G4896" i="2"/>
  <c r="H4896" i="2" s="1"/>
  <c r="E4895" i="2"/>
  <c r="G4901" i="2"/>
  <c r="H4901" i="2" s="1"/>
  <c r="G4903" i="2"/>
  <c r="H4903" i="2" s="1"/>
  <c r="G4914" i="2"/>
  <c r="H4914" i="2" s="1"/>
  <c r="E4926" i="2"/>
  <c r="F4926" i="2"/>
  <c r="G4938" i="2"/>
  <c r="H4938" i="2" s="1"/>
  <c r="G4942" i="2"/>
  <c r="G4959" i="2"/>
  <c r="H4959" i="2" s="1"/>
  <c r="E4956" i="2"/>
  <c r="E4966" i="2"/>
  <c r="G5165" i="2"/>
  <c r="H5165" i="2" s="1"/>
  <c r="E5150" i="2"/>
  <c r="G5622" i="2"/>
  <c r="E5621" i="2"/>
  <c r="G5655" i="2"/>
  <c r="F5651" i="2"/>
  <c r="E146" i="4"/>
  <c r="F146" i="4" s="1"/>
  <c r="G146" i="4" s="1"/>
  <c r="G5725" i="2"/>
  <c r="H5725" i="2" s="1"/>
  <c r="G4953" i="2"/>
  <c r="G5019" i="2"/>
  <c r="H5019" i="2" s="1"/>
  <c r="G5021" i="2"/>
  <c r="H5021" i="2" s="1"/>
  <c r="G5028" i="2"/>
  <c r="H5028" i="2" s="1"/>
  <c r="G5074" i="2"/>
  <c r="H5074" i="2" s="1"/>
  <c r="G5098" i="2"/>
  <c r="H5098" i="2" s="1"/>
  <c r="G5101" i="2"/>
  <c r="H5101" i="2" s="1"/>
  <c r="G5110" i="2"/>
  <c r="H5110" i="2" s="1"/>
  <c r="G5116" i="2"/>
  <c r="H5116" i="2" s="1"/>
  <c r="G5121" i="2"/>
  <c r="H5121" i="2" s="1"/>
  <c r="G5134" i="2"/>
  <c r="H5134" i="2" s="1"/>
  <c r="G5137" i="2"/>
  <c r="H5137" i="2" s="1"/>
  <c r="G5151" i="2"/>
  <c r="H5151" i="2" s="1"/>
  <c r="G5160" i="2"/>
  <c r="H5160" i="2" s="1"/>
  <c r="G5172" i="2"/>
  <c r="H5172" i="2" s="1"/>
  <c r="G5183" i="2"/>
  <c r="G5190" i="2"/>
  <c r="G5203" i="2"/>
  <c r="G5219" i="2"/>
  <c r="G5223" i="2"/>
  <c r="G5227" i="2"/>
  <c r="G5231" i="2"/>
  <c r="E5245" i="2"/>
  <c r="G5249" i="2"/>
  <c r="G5263" i="2"/>
  <c r="G5265" i="2"/>
  <c r="G5269" i="2"/>
  <c r="G5312" i="2"/>
  <c r="G5323" i="2"/>
  <c r="E5342" i="2"/>
  <c r="G5349" i="2"/>
  <c r="G5364" i="2"/>
  <c r="G5400" i="2"/>
  <c r="G5419" i="2"/>
  <c r="G5429" i="2"/>
  <c r="G5442" i="2"/>
  <c r="E5451" i="2"/>
  <c r="E5457" i="2"/>
  <c r="G5467" i="2"/>
  <c r="G5472" i="2"/>
  <c r="G5485" i="2"/>
  <c r="G5492" i="2"/>
  <c r="G5546" i="2"/>
  <c r="G5562" i="2"/>
  <c r="G5567" i="2"/>
  <c r="G5571" i="2"/>
  <c r="G5577" i="2"/>
  <c r="G5638" i="2"/>
  <c r="G5644" i="2"/>
  <c r="G5678" i="2"/>
  <c r="G5687" i="2"/>
  <c r="G5713" i="2"/>
  <c r="G5718" i="2"/>
  <c r="G4541" i="2"/>
  <c r="H4460" i="2"/>
  <c r="G4530" i="2"/>
  <c r="G4517" i="2"/>
  <c r="G4472" i="2"/>
  <c r="G4479" i="2"/>
  <c r="G4505" i="2"/>
  <c r="G4515" i="2"/>
  <c r="G4521" i="2"/>
  <c r="G4539" i="2"/>
  <c r="G4494" i="2"/>
  <c r="G4513" i="2"/>
  <c r="G4534" i="2"/>
  <c r="G4535" i="2"/>
  <c r="F197" i="2"/>
  <c r="G197" i="2" s="1"/>
  <c r="G589" i="2"/>
  <c r="F574" i="2"/>
  <c r="G793" i="2"/>
  <c r="F789" i="2"/>
  <c r="G789" i="2" s="1"/>
  <c r="G1355" i="2"/>
  <c r="G1853" i="2"/>
  <c r="F1846" i="2"/>
  <c r="E1846" i="2"/>
  <c r="G1913" i="2"/>
  <c r="E1912" i="2"/>
  <c r="G1912" i="2" s="1"/>
  <c r="E1916" i="2"/>
  <c r="G2097" i="2"/>
  <c r="H2097" i="2" s="1"/>
  <c r="E2096" i="2"/>
  <c r="F345" i="2"/>
  <c r="G345" i="2" s="1"/>
  <c r="F362" i="2"/>
  <c r="G362" i="2" s="1"/>
  <c r="G646" i="2"/>
  <c r="G744" i="2"/>
  <c r="F743" i="2"/>
  <c r="G743" i="2" s="1"/>
  <c r="H760" i="2"/>
  <c r="G798" i="2"/>
  <c r="F797" i="2"/>
  <c r="G797" i="2" s="1"/>
  <c r="G835" i="2"/>
  <c r="F834" i="2"/>
  <c r="G834" i="2" s="1"/>
  <c r="G906" i="2"/>
  <c r="F905" i="2"/>
  <c r="G905" i="2" s="1"/>
  <c r="G990" i="2"/>
  <c r="F986" i="2"/>
  <c r="G986" i="2" s="1"/>
  <c r="H1185" i="2"/>
  <c r="G1259" i="2"/>
  <c r="E1258" i="2"/>
  <c r="G1258" i="2" s="1"/>
  <c r="G1682" i="2"/>
  <c r="F1752" i="2"/>
  <c r="G1752" i="2" s="1"/>
  <c r="G1945" i="2"/>
  <c r="F1944" i="2"/>
  <c r="G1944" i="2" s="1"/>
  <c r="G2083" i="2"/>
  <c r="H2083" i="2" s="1"/>
  <c r="G2262" i="2"/>
  <c r="H2262" i="2" s="1"/>
  <c r="E2261" i="2"/>
  <c r="F16" i="2"/>
  <c r="G163" i="2"/>
  <c r="F233" i="2"/>
  <c r="G233" i="2" s="1"/>
  <c r="F258" i="2"/>
  <c r="G258" i="2" s="1"/>
  <c r="F311" i="2"/>
  <c r="G311" i="2" s="1"/>
  <c r="F327" i="2"/>
  <c r="G327" i="2" s="1"/>
  <c r="E403" i="2"/>
  <c r="G410" i="2"/>
  <c r="G463" i="2"/>
  <c r="F462" i="2"/>
  <c r="G462" i="2" s="1"/>
  <c r="F516" i="2"/>
  <c r="G526" i="2"/>
  <c r="E537" i="2"/>
  <c r="G537" i="2" s="1"/>
  <c r="H688" i="2"/>
  <c r="H713" i="2"/>
  <c r="H743" i="2"/>
  <c r="F753" i="2"/>
  <c r="G753" i="2" s="1"/>
  <c r="H753" i="2"/>
  <c r="G761" i="2"/>
  <c r="F760" i="2"/>
  <c r="G760" i="2" s="1"/>
  <c r="H776" i="2"/>
  <c r="H797" i="2"/>
  <c r="H840" i="2"/>
  <c r="H876" i="2"/>
  <c r="F946" i="2"/>
  <c r="F965" i="2"/>
  <c r="G965" i="2" s="1"/>
  <c r="G1012" i="2"/>
  <c r="F1011" i="2"/>
  <c r="G1011" i="2" s="1"/>
  <c r="E1293" i="2"/>
  <c r="G1293" i="2" s="1"/>
  <c r="G1294" i="2"/>
  <c r="E1526" i="2"/>
  <c r="E1302" i="2" s="1"/>
  <c r="G1534" i="2"/>
  <c r="G1590" i="2"/>
  <c r="F1582" i="2"/>
  <c r="E1582" i="2"/>
  <c r="F1681" i="2"/>
  <c r="G1747" i="2"/>
  <c r="F1746" i="2"/>
  <c r="G1746" i="2" s="1"/>
  <c r="G1759" i="2"/>
  <c r="F1758" i="2"/>
  <c r="G1788" i="2"/>
  <c r="F1787" i="2"/>
  <c r="H1831" i="2"/>
  <c r="F1933" i="2"/>
  <c r="G1933" i="2" s="1"/>
  <c r="G1950" i="2"/>
  <c r="F1949" i="2"/>
  <c r="G1949" i="2" s="1"/>
  <c r="H1966" i="2"/>
  <c r="H1960" i="2" s="1"/>
  <c r="G1990" i="2"/>
  <c r="E1989" i="2"/>
  <c r="F2045" i="2"/>
  <c r="F2224" i="2"/>
  <c r="G2231" i="2"/>
  <c r="H2231" i="2" s="1"/>
  <c r="G421" i="2"/>
  <c r="F425" i="2"/>
  <c r="G425" i="2" s="1"/>
  <c r="G517" i="2"/>
  <c r="G522" i="2"/>
  <c r="G540" i="2"/>
  <c r="E606" i="2"/>
  <c r="G627" i="2"/>
  <c r="E631" i="2"/>
  <c r="G642" i="2"/>
  <c r="G670" i="2"/>
  <c r="G671" i="2"/>
  <c r="F675" i="2"/>
  <c r="H789" i="2"/>
  <c r="H946" i="2"/>
  <c r="H945" i="2" s="1"/>
  <c r="H1031" i="2"/>
  <c r="H1030" i="2" s="1"/>
  <c r="E1136" i="2"/>
  <c r="G1136" i="2" s="1"/>
  <c r="E1168" i="2"/>
  <c r="G1168" i="2" s="1"/>
  <c r="G1438" i="2"/>
  <c r="H1438" i="2"/>
  <c r="H1437" i="2" s="1"/>
  <c r="G1596" i="2"/>
  <c r="G1605" i="2"/>
  <c r="G1648" i="2"/>
  <c r="G1655" i="2"/>
  <c r="G1671" i="2"/>
  <c r="E1694" i="2"/>
  <c r="G1702" i="2"/>
  <c r="G1710" i="2"/>
  <c r="G1716" i="2"/>
  <c r="G1720" i="2"/>
  <c r="G1727" i="2"/>
  <c r="G1734" i="2"/>
  <c r="G1742" i="2"/>
  <c r="G1783" i="2"/>
  <c r="G1809" i="2"/>
  <c r="H1809" i="2"/>
  <c r="G1831" i="2"/>
  <c r="E1830" i="2"/>
  <c r="G1847" i="2"/>
  <c r="G1875" i="2"/>
  <c r="H1875" i="2"/>
  <c r="H1900" i="2"/>
  <c r="G1907" i="2"/>
  <c r="H1906" i="2"/>
  <c r="F1906" i="2"/>
  <c r="G1919" i="2"/>
  <c r="E1925" i="2"/>
  <c r="G1930" i="2"/>
  <c r="G1937" i="2"/>
  <c r="G1938" i="2"/>
  <c r="G1953" i="2"/>
  <c r="G1954" i="2"/>
  <c r="G1961" i="2"/>
  <c r="G1976" i="2"/>
  <c r="G1977" i="2"/>
  <c r="H1977" i="2"/>
  <c r="H1976" i="2" s="1"/>
  <c r="G1982" i="2"/>
  <c r="G1993" i="2"/>
  <c r="H1993" i="2"/>
  <c r="F1989" i="2"/>
  <c r="G2005" i="2"/>
  <c r="G2011" i="2"/>
  <c r="G2019" i="2"/>
  <c r="G2020" i="2"/>
  <c r="G2037" i="2"/>
  <c r="G2041" i="2"/>
  <c r="H2074" i="2"/>
  <c r="G2107" i="2"/>
  <c r="H2107" i="2" s="1"/>
  <c r="G2206" i="2"/>
  <c r="H2206" i="2" s="1"/>
  <c r="G2252" i="2"/>
  <c r="G2295" i="2"/>
  <c r="F2283" i="2"/>
  <c r="G2535" i="2"/>
  <c r="E2534" i="2"/>
  <c r="G2534" i="2" s="1"/>
  <c r="G2596" i="2"/>
  <c r="F2595" i="2"/>
  <c r="G2641" i="2"/>
  <c r="H2641" i="2" s="1"/>
  <c r="F2640" i="2"/>
  <c r="G2640" i="2" s="1"/>
  <c r="H2640" i="2" s="1"/>
  <c r="G2676" i="2"/>
  <c r="H2676" i="2" s="1"/>
  <c r="F2675" i="2"/>
  <c r="G2675" i="2" s="1"/>
  <c r="H2675" i="2" s="1"/>
  <c r="G2744" i="2"/>
  <c r="G2829" i="2"/>
  <c r="F2828" i="2"/>
  <c r="G2828" i="2" s="1"/>
  <c r="E2870" i="2"/>
  <c r="G2870" i="2" s="1"/>
  <c r="H2870" i="2"/>
  <c r="G2946" i="2"/>
  <c r="F2945" i="2"/>
  <c r="G2945" i="2" s="1"/>
  <c r="H3112" i="2"/>
  <c r="G2276" i="2"/>
  <c r="F2261" i="2"/>
  <c r="G2389" i="2"/>
  <c r="H2389" i="2" s="1"/>
  <c r="H2388" i="2" s="1"/>
  <c r="F2388" i="2"/>
  <c r="G2388" i="2" s="1"/>
  <c r="G2430" i="2"/>
  <c r="F2429" i="2"/>
  <c r="G2429" i="2" s="1"/>
  <c r="E2524" i="2"/>
  <c r="G2524" i="2" s="1"/>
  <c r="G2660" i="2"/>
  <c r="H2660" i="2" s="1"/>
  <c r="F2684" i="2"/>
  <c r="G2710" i="2"/>
  <c r="H2710" i="2" s="1"/>
  <c r="F2709" i="2"/>
  <c r="G2709" i="2" s="1"/>
  <c r="H2709" i="2" s="1"/>
  <c r="H3136" i="2"/>
  <c r="G2115" i="2"/>
  <c r="H2115" i="2" s="1"/>
  <c r="G2123" i="2"/>
  <c r="H2123" i="2" s="1"/>
  <c r="G2128" i="2"/>
  <c r="H2128" i="2" s="1"/>
  <c r="G2129" i="2"/>
  <c r="H2129" i="2" s="1"/>
  <c r="G2135" i="2"/>
  <c r="H2135" i="2" s="1"/>
  <c r="F2139" i="2"/>
  <c r="G2145" i="2"/>
  <c r="H2145" i="2" s="1"/>
  <c r="G2146" i="2"/>
  <c r="H2146" i="2" s="1"/>
  <c r="F2149" i="2"/>
  <c r="G2157" i="2"/>
  <c r="H2157" i="2" s="1"/>
  <c r="G2158" i="2"/>
  <c r="H2158" i="2" s="1"/>
  <c r="E2164" i="2"/>
  <c r="G2173" i="2"/>
  <c r="H2173" i="2" s="1"/>
  <c r="G2177" i="2"/>
  <c r="H2177" i="2" s="1"/>
  <c r="G2178" i="2"/>
  <c r="H2178" i="2" s="1"/>
  <c r="G2198" i="2"/>
  <c r="H2198" i="2" s="1"/>
  <c r="G2199" i="2"/>
  <c r="H2199" i="2" s="1"/>
  <c r="G2202" i="2"/>
  <c r="H2202" i="2" s="1"/>
  <c r="G2219" i="2"/>
  <c r="H2219" i="2" s="1"/>
  <c r="G2225" i="2"/>
  <c r="G2233" i="2"/>
  <c r="G2241" i="2"/>
  <c r="H2241" i="2" s="1"/>
  <c r="G2247" i="2"/>
  <c r="H2247" i="2" s="1"/>
  <c r="G2248" i="2"/>
  <c r="H2248" i="2" s="1"/>
  <c r="H2252" i="2"/>
  <c r="H2251" i="2" s="1"/>
  <c r="G2284" i="2"/>
  <c r="H2284" i="2" s="1"/>
  <c r="F2404" i="2"/>
  <c r="G2413" i="2"/>
  <c r="H2413" i="2" s="1"/>
  <c r="H2430" i="2"/>
  <c r="H2429" i="2" s="1"/>
  <c r="H2468" i="2"/>
  <c r="H2473" i="2"/>
  <c r="H2498" i="2"/>
  <c r="G2656" i="2"/>
  <c r="H2656" i="2" s="1"/>
  <c r="G2665" i="2"/>
  <c r="H2665" i="2" s="1"/>
  <c r="G2666" i="2"/>
  <c r="H2666" i="2" s="1"/>
  <c r="G2694" i="2"/>
  <c r="H2694" i="2" s="1"/>
  <c r="G2723" i="2"/>
  <c r="H2723" i="2" s="1"/>
  <c r="G2724" i="2"/>
  <c r="H2724" i="2" s="1"/>
  <c r="H2740" i="2"/>
  <c r="G2755" i="2"/>
  <c r="G2769" i="2"/>
  <c r="G2775" i="2"/>
  <c r="G2778" i="2"/>
  <c r="H2772" i="2"/>
  <c r="G2781" i="2"/>
  <c r="G2791" i="2"/>
  <c r="G2802" i="2"/>
  <c r="G2808" i="2"/>
  <c r="G2810" i="2"/>
  <c r="G2814" i="2"/>
  <c r="G2816" i="2"/>
  <c r="H2819" i="2"/>
  <c r="G2841" i="2"/>
  <c r="G2845" i="2"/>
  <c r="E2848" i="2"/>
  <c r="G2884" i="2"/>
  <c r="G2898" i="2"/>
  <c r="F2895" i="2"/>
  <c r="G2954" i="2"/>
  <c r="F2953" i="2"/>
  <c r="G2989" i="2"/>
  <c r="F2980" i="2"/>
  <c r="G3137" i="2"/>
  <c r="F3136" i="2"/>
  <c r="G3199" i="2"/>
  <c r="F3198" i="2"/>
  <c r="G3198" i="2" s="1"/>
  <c r="H3198" i="2"/>
  <c r="G2858" i="2"/>
  <c r="H2857" i="2"/>
  <c r="G2866" i="2"/>
  <c r="G2871" i="2"/>
  <c r="G2873" i="2"/>
  <c r="G2875" i="2"/>
  <c r="G2885" i="2"/>
  <c r="G2889" i="2"/>
  <c r="G2896" i="2"/>
  <c r="H2895" i="2"/>
  <c r="E2919" i="2"/>
  <c r="G2942" i="2"/>
  <c r="G2956" i="2"/>
  <c r="E2980" i="2"/>
  <c r="H2980" i="2"/>
  <c r="G3007" i="2"/>
  <c r="G3019" i="2"/>
  <c r="E3022" i="2"/>
  <c r="G3117" i="2"/>
  <c r="G3121" i="2"/>
  <c r="G3123" i="2"/>
  <c r="E3112" i="2"/>
  <c r="G3141" i="2"/>
  <c r="G3169" i="2"/>
  <c r="F3318" i="2"/>
  <c r="G3318" i="2" s="1"/>
  <c r="H3318" i="2" s="1"/>
  <c r="F3411" i="2"/>
  <c r="G3411" i="2" s="1"/>
  <c r="H3411" i="2" s="1"/>
  <c r="G3421" i="2"/>
  <c r="F3445" i="2"/>
  <c r="G3445" i="2" s="1"/>
  <c r="H3449" i="2"/>
  <c r="G3455" i="2"/>
  <c r="G3464" i="2"/>
  <c r="G3468" i="2"/>
  <c r="H3473" i="2"/>
  <c r="H3481" i="2"/>
  <c r="F3583" i="2"/>
  <c r="G3583" i="2" s="1"/>
  <c r="H3583" i="2" s="1"/>
  <c r="F3594" i="2"/>
  <c r="G3594" i="2" s="1"/>
  <c r="H3594" i="2" s="1"/>
  <c r="E3597" i="2"/>
  <c r="E3582" i="2" s="1"/>
  <c r="F3610" i="2"/>
  <c r="G3610" i="2" s="1"/>
  <c r="H3610" i="2" s="1"/>
  <c r="G3616" i="2"/>
  <c r="H3616" i="2" s="1"/>
  <c r="F3623" i="2"/>
  <c r="G3623" i="2" s="1"/>
  <c r="H3623" i="2" s="1"/>
  <c r="F3627" i="2"/>
  <c r="G3627" i="2" s="1"/>
  <c r="H3627" i="2" s="1"/>
  <c r="F3631" i="2"/>
  <c r="G3631" i="2" s="1"/>
  <c r="H3631" i="2" s="1"/>
  <c r="F3664" i="2"/>
  <c r="G3664" i="2" s="1"/>
  <c r="H3664" i="2" s="1"/>
  <c r="F3668" i="2"/>
  <c r="G3668" i="2" s="1"/>
  <c r="H3668" i="2" s="1"/>
  <c r="F3676" i="2"/>
  <c r="G3676" i="2" s="1"/>
  <c r="H3676" i="2" s="1"/>
  <c r="E3871" i="2"/>
  <c r="H4022" i="2"/>
  <c r="G4209" i="2"/>
  <c r="H4346" i="2"/>
  <c r="H4360" i="2"/>
  <c r="H4369" i="2"/>
  <c r="H4375" i="2"/>
  <c r="H4385" i="2"/>
  <c r="H4390" i="2"/>
  <c r="H4396" i="2"/>
  <c r="H4400" i="2"/>
  <c r="G4419" i="2"/>
  <c r="H4419" i="2" s="1"/>
  <c r="G4425" i="2"/>
  <c r="H4425" i="2" s="1"/>
  <c r="F4441" i="2"/>
  <c r="G4441" i="2" s="1"/>
  <c r="H4441" i="2" s="1"/>
  <c r="F4454" i="2"/>
  <c r="E4538" i="2"/>
  <c r="G4544" i="2"/>
  <c r="F3401" i="2"/>
  <c r="G3401" i="2" s="1"/>
  <c r="H3401" i="2" s="1"/>
  <c r="H3416" i="2"/>
  <c r="H3434" i="2"/>
  <c r="G3452" i="2"/>
  <c r="G3476" i="2"/>
  <c r="G3484" i="2"/>
  <c r="G3492" i="2"/>
  <c r="E3491" i="2"/>
  <c r="H3491" i="2"/>
  <c r="G3498" i="2"/>
  <c r="G3502" i="2"/>
  <c r="F3513" i="2"/>
  <c r="G3513" i="2" s="1"/>
  <c r="F3520" i="2"/>
  <c r="G3520" i="2" s="1"/>
  <c r="F3528" i="2"/>
  <c r="G3528" i="2" s="1"/>
  <c r="F3533" i="2"/>
  <c r="G3533" i="2" s="1"/>
  <c r="G3696" i="2"/>
  <c r="H3696" i="2" s="1"/>
  <c r="F3783" i="2"/>
  <c r="F3789" i="2"/>
  <c r="G3789" i="2" s="1"/>
  <c r="G3795" i="2"/>
  <c r="F3803" i="2"/>
  <c r="G3803" i="2" s="1"/>
  <c r="F3828" i="2"/>
  <c r="G3828" i="2" s="1"/>
  <c r="F3832" i="2"/>
  <c r="G3832" i="2" s="1"/>
  <c r="G3843" i="2"/>
  <c r="F3845" i="2"/>
  <c r="G3845" i="2" s="1"/>
  <c r="F3881" i="2"/>
  <c r="G3881" i="2" s="1"/>
  <c r="G4002" i="2"/>
  <c r="G4005" i="2"/>
  <c r="H4005" i="2" s="1"/>
  <c r="G4202" i="2"/>
  <c r="G4275" i="2"/>
  <c r="G4291" i="2"/>
  <c r="F4330" i="2"/>
  <c r="G4330" i="2" s="1"/>
  <c r="E4345" i="2"/>
  <c r="E4389" i="2"/>
  <c r="E4395" i="2"/>
  <c r="G4462" i="2"/>
  <c r="G4474" i="2"/>
  <c r="G4484" i="2"/>
  <c r="G4487" i="2"/>
  <c r="G4491" i="2"/>
  <c r="G4499" i="2"/>
  <c r="G4509" i="2"/>
  <c r="F4512" i="2"/>
  <c r="G4526" i="2"/>
  <c r="E4549" i="2"/>
  <c r="E4575" i="2"/>
  <c r="G4601" i="2"/>
  <c r="E4606" i="2"/>
  <c r="H4606" i="2"/>
  <c r="G4620" i="2"/>
  <c r="G4619" i="2" s="1"/>
  <c r="F4623" i="2"/>
  <c r="G4630" i="2"/>
  <c r="G4638" i="2"/>
  <c r="E4653" i="2"/>
  <c r="G4660" i="2"/>
  <c r="G4668" i="2"/>
  <c r="G4915" i="2"/>
  <c r="H4915" i="2" s="1"/>
  <c r="E4918" i="2"/>
  <c r="G4918" i="2" s="1"/>
  <c r="H4918" i="2" s="1"/>
  <c r="G4927" i="2"/>
  <c r="H4927" i="2" s="1"/>
  <c r="G4929" i="2"/>
  <c r="H4929" i="2" s="1"/>
  <c r="G4931" i="2"/>
  <c r="H4931" i="2" s="1"/>
  <c r="G4943" i="2"/>
  <c r="G4952" i="2"/>
  <c r="G4957" i="2"/>
  <c r="H4957" i="2" s="1"/>
  <c r="G4967" i="2"/>
  <c r="H4967" i="2" s="1"/>
  <c r="E5005" i="2"/>
  <c r="G5030" i="2"/>
  <c r="H5030" i="2" s="1"/>
  <c r="G5033" i="2"/>
  <c r="H5033" i="2" s="1"/>
  <c r="G5036" i="2"/>
  <c r="H5036" i="2" s="1"/>
  <c r="F5071" i="2"/>
  <c r="G5072" i="2"/>
  <c r="H5072" i="2" s="1"/>
  <c r="E5071" i="2"/>
  <c r="G5078" i="2"/>
  <c r="H5078" i="2" s="1"/>
  <c r="G5105" i="2"/>
  <c r="H5105" i="2" s="1"/>
  <c r="G4557" i="2"/>
  <c r="H4563" i="2"/>
  <c r="H4549" i="2" s="1"/>
  <c r="G4578" i="2"/>
  <c r="H4600" i="2"/>
  <c r="G4609" i="2"/>
  <c r="E4627" i="2"/>
  <c r="E4663" i="2"/>
  <c r="G4792" i="2"/>
  <c r="H4792" i="2" s="1"/>
  <c r="E4834" i="2"/>
  <c r="G4857" i="2"/>
  <c r="E4854" i="2"/>
  <c r="E4853" i="2" s="1"/>
  <c r="G4866" i="2"/>
  <c r="E4880" i="2"/>
  <c r="F4880" i="2"/>
  <c r="G4898" i="2"/>
  <c r="H4898" i="2" s="1"/>
  <c r="G4910" i="2"/>
  <c r="H4910" i="2" s="1"/>
  <c r="G4947" i="2"/>
  <c r="G4988" i="2"/>
  <c r="H4988" i="2" s="1"/>
  <c r="G4997" i="2"/>
  <c r="H4997" i="2" s="1"/>
  <c r="G5000" i="2"/>
  <c r="H5000" i="2" s="1"/>
  <c r="G5006" i="2"/>
  <c r="H5006" i="2" s="1"/>
  <c r="G5008" i="2"/>
  <c r="H5008" i="2" s="1"/>
  <c r="G5012" i="2"/>
  <c r="H5012" i="2" s="1"/>
  <c r="E5133" i="2"/>
  <c r="G5225" i="2"/>
  <c r="G5236" i="2"/>
  <c r="G5318" i="2"/>
  <c r="E5322" i="2"/>
  <c r="G5332" i="2"/>
  <c r="G5385" i="2"/>
  <c r="G5390" i="2"/>
  <c r="G5397" i="2"/>
  <c r="G5414" i="2"/>
  <c r="F5437" i="2"/>
  <c r="G5452" i="2"/>
  <c r="G5462" i="2"/>
  <c r="G5477" i="2"/>
  <c r="G5505" i="2"/>
  <c r="G5509" i="2"/>
  <c r="H5519" i="2"/>
  <c r="G5579" i="2"/>
  <c r="G5585" i="2"/>
  <c r="G5587" i="2"/>
  <c r="G5589" i="2"/>
  <c r="E5593" i="2"/>
  <c r="E5592" i="2" s="1"/>
  <c r="H5593" i="2"/>
  <c r="G5601" i="2"/>
  <c r="H5612" i="2"/>
  <c r="G5627" i="2"/>
  <c r="G5629" i="2"/>
  <c r="G5661" i="2"/>
  <c r="G5126" i="2"/>
  <c r="H5126" i="2" s="1"/>
  <c r="F5125" i="2"/>
  <c r="G5139" i="2"/>
  <c r="H5139" i="2" s="1"/>
  <c r="F5145" i="2"/>
  <c r="G5145" i="2" s="1"/>
  <c r="H5145" i="2" s="1"/>
  <c r="E5169" i="2"/>
  <c r="G5174" i="2"/>
  <c r="H5174" i="2" s="1"/>
  <c r="G5177" i="2"/>
  <c r="H5177" i="2" s="1"/>
  <c r="G5178" i="2"/>
  <c r="H5178" i="2" s="1"/>
  <c r="G5186" i="2"/>
  <c r="E5182" i="2"/>
  <c r="G5210" i="2"/>
  <c r="G5214" i="2"/>
  <c r="G5230" i="2"/>
  <c r="G5242" i="2"/>
  <c r="G5246" i="2"/>
  <c r="G5251" i="2"/>
  <c r="G5259" i="2"/>
  <c r="G5273" i="2"/>
  <c r="G5292" i="2"/>
  <c r="G5313" i="2"/>
  <c r="F5322" i="2"/>
  <c r="E5329" i="2"/>
  <c r="G5379" i="2"/>
  <c r="G5383" i="2"/>
  <c r="G5422" i="2"/>
  <c r="G5438" i="2"/>
  <c r="G5454" i="2"/>
  <c r="G5458" i="2"/>
  <c r="G5503" i="2"/>
  <c r="G5514" i="2"/>
  <c r="G5520" i="2"/>
  <c r="G5524" i="2"/>
  <c r="G5534" i="2"/>
  <c r="G5536" i="2"/>
  <c r="G5549" i="2"/>
  <c r="G5555" i="2"/>
  <c r="G5557" i="2"/>
  <c r="G5582" i="2"/>
  <c r="G5598" i="2"/>
  <c r="G5613" i="2"/>
  <c r="G5615" i="2"/>
  <c r="H5626" i="2"/>
  <c r="G5636" i="2"/>
  <c r="G5652" i="2"/>
  <c r="E5651" i="2"/>
  <c r="H5651" i="2"/>
  <c r="G5662" i="2"/>
  <c r="G5666" i="2"/>
  <c r="G5681" i="2"/>
  <c r="H5691" i="2"/>
  <c r="G5703" i="2"/>
  <c r="G5705" i="2"/>
  <c r="F5712" i="2"/>
  <c r="G5712" i="2" s="1"/>
  <c r="H4158" i="2"/>
  <c r="H4152" i="2" s="1"/>
  <c r="G4147" i="2"/>
  <c r="H4147" i="2" s="1"/>
  <c r="H4125" i="2"/>
  <c r="G4125" i="2"/>
  <c r="G4105" i="2"/>
  <c r="G4110" i="2"/>
  <c r="G4113" i="2"/>
  <c r="H4105" i="2"/>
  <c r="H4113" i="2"/>
  <c r="G4099" i="2"/>
  <c r="H4099" i="2"/>
  <c r="H4098" i="2" s="1"/>
  <c r="G4085" i="2"/>
  <c r="F4080" i="2"/>
  <c r="G4080" i="2" s="1"/>
  <c r="H4080" i="2" s="1"/>
  <c r="F4074" i="2"/>
  <c r="G4074" i="2" s="1"/>
  <c r="G4012" i="2"/>
  <c r="G4022" i="2"/>
  <c r="G4039" i="2"/>
  <c r="H4039" i="2"/>
  <c r="H3964" i="2"/>
  <c r="H3954" i="2" s="1"/>
  <c r="G3955" i="2"/>
  <c r="E4124" i="2"/>
  <c r="G4184" i="2"/>
  <c r="H4184" i="2" s="1"/>
  <c r="E3954" i="2"/>
  <c r="G3987" i="2"/>
  <c r="E4001" i="2"/>
  <c r="F4045" i="2"/>
  <c r="G4045" i="2" s="1"/>
  <c r="F4059" i="2"/>
  <c r="G4059" i="2" s="1"/>
  <c r="F4067" i="2"/>
  <c r="G4067" i="2" s="1"/>
  <c r="H4067" i="2" s="1"/>
  <c r="E4104" i="2"/>
  <c r="G4104" i="2" s="1"/>
  <c r="G4135" i="2"/>
  <c r="F4188" i="2"/>
  <c r="G4188" i="2" s="1"/>
  <c r="E4201" i="2"/>
  <c r="G4201" i="2" s="1"/>
  <c r="G2371" i="2"/>
  <c r="H2371" i="2" s="1"/>
  <c r="F2392" i="2"/>
  <c r="G2392" i="2" s="1"/>
  <c r="H2392" i="2" s="1"/>
  <c r="F2396" i="2"/>
  <c r="G2396" i="2" s="1"/>
  <c r="G2460" i="2"/>
  <c r="H2460" i="2" s="1"/>
  <c r="G2461" i="2"/>
  <c r="H2461" i="2" s="1"/>
  <c r="G2464" i="2"/>
  <c r="G2465" i="2"/>
  <c r="G2338" i="2"/>
  <c r="H2345" i="2"/>
  <c r="G2350" i="2"/>
  <c r="H2350" i="2" s="1"/>
  <c r="E2382" i="2"/>
  <c r="G2382" i="2" s="1"/>
  <c r="G2438" i="2"/>
  <c r="H2438" i="2" s="1"/>
  <c r="G2439" i="2"/>
  <c r="H2439" i="2" s="1"/>
  <c r="G2468" i="2"/>
  <c r="G2385" i="2"/>
  <c r="H2385" i="2" s="1"/>
  <c r="E2313" i="2"/>
  <c r="G2314" i="2"/>
  <c r="G2345" i="2"/>
  <c r="G2348" i="2"/>
  <c r="H2348" i="2" s="1"/>
  <c r="G2368" i="2"/>
  <c r="H2368" i="2" s="1"/>
  <c r="G2375" i="2"/>
  <c r="H2375" i="2" s="1"/>
  <c r="G2383" i="2"/>
  <c r="H2383" i="2" s="1"/>
  <c r="G2407" i="2"/>
  <c r="H2407" i="2" s="1"/>
  <c r="G2410" i="2"/>
  <c r="H2410" i="2" s="1"/>
  <c r="G2416" i="2"/>
  <c r="H2416" i="2" s="1"/>
  <c r="F2419" i="2"/>
  <c r="G2419" i="2" s="1"/>
  <c r="F190" i="5"/>
  <c r="G190" i="5" s="1"/>
  <c r="H1074" i="2"/>
  <c r="H1073" i="2" s="1"/>
  <c r="H1862" i="2"/>
  <c r="H1867" i="2"/>
  <c r="F85" i="2"/>
  <c r="F490" i="2"/>
  <c r="G490" i="2" s="1"/>
  <c r="E574" i="2"/>
  <c r="F606" i="2"/>
  <c r="F631" i="2"/>
  <c r="F826" i="2"/>
  <c r="G826" i="2" s="1"/>
  <c r="F876" i="2"/>
  <c r="G876" i="2" s="1"/>
  <c r="E1163" i="2"/>
  <c r="G1163" i="2" s="1"/>
  <c r="E1277" i="2"/>
  <c r="G1277" i="2" s="1"/>
  <c r="E1282" i="2"/>
  <c r="G1603" i="2"/>
  <c r="E1617" i="2"/>
  <c r="G1672" i="2"/>
  <c r="G1735" i="2"/>
  <c r="E1804" i="2"/>
  <c r="G1839" i="2"/>
  <c r="G1862" i="2"/>
  <c r="F1916" i="2"/>
  <c r="H2233" i="2"/>
  <c r="H2322" i="2"/>
  <c r="H2338" i="2"/>
  <c r="G2599" i="2"/>
  <c r="H2599" i="2" s="1"/>
  <c r="E2595" i="2"/>
  <c r="F1037" i="2"/>
  <c r="E1214" i="2"/>
  <c r="G1214" i="2" s="1"/>
  <c r="E1227" i="2"/>
  <c r="G1227" i="2" s="1"/>
  <c r="F1617" i="2"/>
  <c r="F1694" i="2"/>
  <c r="F1804" i="2"/>
  <c r="H1954" i="2"/>
  <c r="H1953" i="2" s="1"/>
  <c r="H2046" i="2"/>
  <c r="H2276" i="2"/>
  <c r="H2341" i="2"/>
  <c r="H2465" i="2"/>
  <c r="F916" i="2"/>
  <c r="G2932" i="2"/>
  <c r="F2929" i="2"/>
  <c r="F162" i="2"/>
  <c r="G162" i="2" s="1"/>
  <c r="F182" i="2"/>
  <c r="G182" i="2" s="1"/>
  <c r="F216" i="2"/>
  <c r="G216" i="2" s="1"/>
  <c r="F277" i="2"/>
  <c r="G277" i="2" s="1"/>
  <c r="F570" i="2"/>
  <c r="G570" i="2" s="1"/>
  <c r="F713" i="2"/>
  <c r="G713" i="2" s="1"/>
  <c r="F776" i="2"/>
  <c r="G776" i="2" s="1"/>
  <c r="F830" i="2"/>
  <c r="G830" i="2" s="1"/>
  <c r="F929" i="2"/>
  <c r="F941" i="2"/>
  <c r="F979" i="2"/>
  <c r="F1006" i="2"/>
  <c r="G1006" i="2" s="1"/>
  <c r="F1026" i="2"/>
  <c r="F1083" i="2"/>
  <c r="G1083" i="2" s="1"/>
  <c r="E1185" i="2"/>
  <c r="G1185" i="2" s="1"/>
  <c r="E1245" i="2"/>
  <c r="G1245" i="2" s="1"/>
  <c r="E1271" i="2"/>
  <c r="G1271" i="2" s="1"/>
  <c r="F1608" i="2"/>
  <c r="F1654" i="2"/>
  <c r="G1654" i="2" s="1"/>
  <c r="F1715" i="2"/>
  <c r="F1724" i="2"/>
  <c r="F1738" i="2"/>
  <c r="G1738" i="2" s="1"/>
  <c r="G1928" i="2"/>
  <c r="H1982" i="2"/>
  <c r="H1981" i="2" s="1"/>
  <c r="H2020" i="2"/>
  <c r="H2019" i="2" s="1"/>
  <c r="H2215" i="2"/>
  <c r="H2227" i="2"/>
  <c r="H2295" i="2"/>
  <c r="H2314" i="2"/>
  <c r="H2335" i="2"/>
  <c r="H2420" i="2"/>
  <c r="H2419" i="2" s="1"/>
  <c r="G1986" i="2"/>
  <c r="G2002" i="2"/>
  <c r="G2030" i="2"/>
  <c r="G2099" i="2"/>
  <c r="H2099" i="2" s="1"/>
  <c r="F2443" i="2"/>
  <c r="G2443" i="2" s="1"/>
  <c r="H2443" i="2" s="1"/>
  <c r="G2484" i="2"/>
  <c r="E2529" i="2"/>
  <c r="E2554" i="2"/>
  <c r="G2554" i="2" s="1"/>
  <c r="E2562" i="2"/>
  <c r="G2562" i="2" s="1"/>
  <c r="E2567" i="2"/>
  <c r="G2567" i="2" s="1"/>
  <c r="E2572" i="2"/>
  <c r="G2572" i="2" s="1"/>
  <c r="G2603" i="2"/>
  <c r="H2603" i="2" s="1"/>
  <c r="F2617" i="2"/>
  <c r="F2644" i="2"/>
  <c r="G2644" i="2" s="1"/>
  <c r="H2644" i="2" s="1"/>
  <c r="F2653" i="2"/>
  <c r="G2881" i="2"/>
  <c r="G2924" i="2"/>
  <c r="G2933" i="2"/>
  <c r="F3022" i="2"/>
  <c r="F2040" i="2"/>
  <c r="G2040" i="2" s="1"/>
  <c r="G2142" i="2"/>
  <c r="H2142" i="2" s="1"/>
  <c r="G2152" i="2"/>
  <c r="H2152" i="2" s="1"/>
  <c r="G2167" i="2"/>
  <c r="H2167" i="2" s="1"/>
  <c r="E2404" i="2"/>
  <c r="F2434" i="2"/>
  <c r="E2538" i="2"/>
  <c r="G2538" i="2" s="1"/>
  <c r="E2548" i="2"/>
  <c r="G2548" i="2" s="1"/>
  <c r="F2634" i="2"/>
  <c r="G2634" i="2" s="1"/>
  <c r="H2634" i="2" s="1"/>
  <c r="G2716" i="2"/>
  <c r="H2716" i="2" s="1"/>
  <c r="F2848" i="2"/>
  <c r="F2888" i="2"/>
  <c r="F3597" i="2"/>
  <c r="G3598" i="2"/>
  <c r="H3598" i="2" s="1"/>
  <c r="E2132" i="2"/>
  <c r="E2214" i="2"/>
  <c r="E2238" i="2"/>
  <c r="F2447" i="2"/>
  <c r="G2447" i="2" s="1"/>
  <c r="H2447" i="2" s="1"/>
  <c r="G3013" i="2"/>
  <c r="F3227" i="2"/>
  <c r="G3227" i="2" s="1"/>
  <c r="F3338" i="2"/>
  <c r="G3338" i="2" s="1"/>
  <c r="H3338" i="2" s="1"/>
  <c r="E3416" i="2"/>
  <c r="E3434" i="2"/>
  <c r="F3607" i="2"/>
  <c r="G3607" i="2" s="1"/>
  <c r="H3607" i="2" s="1"/>
  <c r="G3892" i="2"/>
  <c r="F3112" i="2"/>
  <c r="F3162" i="2"/>
  <c r="G3162" i="2" s="1"/>
  <c r="F3246" i="2"/>
  <c r="G3246" i="2" s="1"/>
  <c r="F3303" i="2"/>
  <c r="G3303" i="2" s="1"/>
  <c r="H3303" i="2" s="1"/>
  <c r="F3367" i="2"/>
  <c r="G3367" i="2" s="1"/>
  <c r="H3367" i="2" s="1"/>
  <c r="F3376" i="2"/>
  <c r="G3376" i="2" s="1"/>
  <c r="H3376" i="2" s="1"/>
  <c r="F3397" i="2"/>
  <c r="G3397" i="2" s="1"/>
  <c r="H3397" i="2" s="1"/>
  <c r="F3406" i="2"/>
  <c r="G3406" i="2" s="1"/>
  <c r="H3406" i="2" s="1"/>
  <c r="F3416" i="2"/>
  <c r="F3440" i="2"/>
  <c r="G3440" i="2" s="1"/>
  <c r="F3449" i="2"/>
  <c r="G3449" i="2" s="1"/>
  <c r="F3473" i="2"/>
  <c r="F3481" i="2"/>
  <c r="F3563" i="2"/>
  <c r="G3563" i="2" s="1"/>
  <c r="H3563" i="2" s="1"/>
  <c r="F3588" i="2"/>
  <c r="G3588" i="2" s="1"/>
  <c r="H3588" i="2" s="1"/>
  <c r="F3605" i="2"/>
  <c r="F3612" i="2"/>
  <c r="G3612" i="2" s="1"/>
  <c r="H3612" i="2" s="1"/>
  <c r="F3652" i="2"/>
  <c r="G3652" i="2" s="1"/>
  <c r="H3652" i="2" s="1"/>
  <c r="F3672" i="2"/>
  <c r="H4870" i="2"/>
  <c r="H4869" i="2" s="1"/>
  <c r="G3706" i="2"/>
  <c r="F3705" i="2"/>
  <c r="G3743" i="2"/>
  <c r="F3041" i="2"/>
  <c r="F3147" i="2"/>
  <c r="G3147" i="2" s="1"/>
  <c r="F3186" i="2"/>
  <c r="G3186" i="2" s="1"/>
  <c r="F3222" i="2"/>
  <c r="G3222" i="2" s="1"/>
  <c r="F3325" i="2"/>
  <c r="G3325" i="2" s="1"/>
  <c r="H3325" i="2" s="1"/>
  <c r="F3355" i="2"/>
  <c r="G3355" i="2" s="1"/>
  <c r="H3355" i="2" s="1"/>
  <c r="F3578" i="2"/>
  <c r="G3578" i="2" s="1"/>
  <c r="H3578" i="2" s="1"/>
  <c r="F3585" i="2"/>
  <c r="F3599" i="2"/>
  <c r="G3599" i="2" s="1"/>
  <c r="H3599" i="2" s="1"/>
  <c r="F3695" i="2"/>
  <c r="G3695" i="2" s="1"/>
  <c r="H3695" i="2" s="1"/>
  <c r="G3872" i="2"/>
  <c r="F3808" i="2"/>
  <c r="G3808" i="2" s="1"/>
  <c r="F3848" i="2"/>
  <c r="G3848" i="2" s="1"/>
  <c r="F3904" i="2"/>
  <c r="F3931" i="2"/>
  <c r="F3954" i="2"/>
  <c r="F4118" i="2"/>
  <c r="G4118" i="2" s="1"/>
  <c r="F4152" i="2"/>
  <c r="G4152" i="2" s="1"/>
  <c r="F4232" i="2"/>
  <c r="G4232" i="2" s="1"/>
  <c r="F4262" i="2"/>
  <c r="G4262" i="2" s="1"/>
  <c r="F4278" i="2"/>
  <c r="G4278" i="2" s="1"/>
  <c r="F4298" i="2"/>
  <c r="G4298" i="2" s="1"/>
  <c r="F4316" i="2"/>
  <c r="G4316" i="2" s="1"/>
  <c r="F4345" i="2"/>
  <c r="H4352" i="2"/>
  <c r="H4362" i="2"/>
  <c r="H4367" i="2"/>
  <c r="H4373" i="2"/>
  <c r="H4377" i="2"/>
  <c r="H4380" i="2"/>
  <c r="H4383" i="2"/>
  <c r="F4389" i="2"/>
  <c r="H4392" i="2"/>
  <c r="F4395" i="2"/>
  <c r="H4398" i="2"/>
  <c r="H4403" i="2"/>
  <c r="H4404" i="2"/>
  <c r="H4407" i="2"/>
  <c r="H4409" i="2"/>
  <c r="H4410" i="2"/>
  <c r="E4433" i="2"/>
  <c r="F4520" i="2"/>
  <c r="G4520" i="2" s="1"/>
  <c r="H4578" i="2"/>
  <c r="H4575" i="2" s="1"/>
  <c r="F4653" i="2"/>
  <c r="F4663" i="2"/>
  <c r="G4782" i="2"/>
  <c r="H4782" i="2" s="1"/>
  <c r="F4966" i="2"/>
  <c r="G5016" i="2"/>
  <c r="H5016" i="2" s="1"/>
  <c r="G5092" i="2"/>
  <c r="H5092" i="2" s="1"/>
  <c r="E5089" i="2"/>
  <c r="F4124" i="2"/>
  <c r="F4302" i="2"/>
  <c r="G4302" i="2" s="1"/>
  <c r="F4320" i="2"/>
  <c r="G4320" i="2" s="1"/>
  <c r="F4538" i="2"/>
  <c r="F4575" i="2"/>
  <c r="F4606" i="2"/>
  <c r="E5077" i="2"/>
  <c r="G5077" i="2" s="1"/>
  <c r="H5077" i="2" s="1"/>
  <c r="F5089" i="2"/>
  <c r="E5097" i="2"/>
  <c r="G5097" i="2" s="1"/>
  <c r="H5097" i="2" s="1"/>
  <c r="G5118" i="2"/>
  <c r="H5118" i="2" s="1"/>
  <c r="E5115" i="2"/>
  <c r="E5125" i="2"/>
  <c r="G5128" i="2"/>
  <c r="H5128" i="2" s="1"/>
  <c r="F3816" i="2"/>
  <c r="G3816" i="2" s="1"/>
  <c r="G3873" i="2"/>
  <c r="G3875" i="2"/>
  <c r="G3893" i="2"/>
  <c r="G3895" i="2"/>
  <c r="G5081" i="2"/>
  <c r="H5081" i="2" s="1"/>
  <c r="G5112" i="2"/>
  <c r="H5112" i="2" s="1"/>
  <c r="E5109" i="2"/>
  <c r="F4063" i="2"/>
  <c r="G4063" i="2" s="1"/>
  <c r="F4483" i="2"/>
  <c r="F4508" i="2"/>
  <c r="G4508" i="2" s="1"/>
  <c r="F4525" i="2"/>
  <c r="G4525" i="2" s="1"/>
  <c r="G4804" i="2"/>
  <c r="H4804" i="2" s="1"/>
  <c r="G4813" i="2"/>
  <c r="H4813" i="2" s="1"/>
  <c r="F4946" i="2"/>
  <c r="G4946" i="2" s="1"/>
  <c r="F5104" i="2"/>
  <c r="G5104" i="2" s="1"/>
  <c r="H5104" i="2" s="1"/>
  <c r="F5109" i="2"/>
  <c r="F5169" i="2"/>
  <c r="F5182" i="2"/>
  <c r="F5222" i="2"/>
  <c r="G5222" i="2" s="1"/>
  <c r="F5245" i="2"/>
  <c r="E5283" i="2"/>
  <c r="E5317" i="2"/>
  <c r="G5317" i="2" s="1"/>
  <c r="G5326" i="2"/>
  <c r="F5342" i="2"/>
  <c r="F5382" i="2"/>
  <c r="F5409" i="2"/>
  <c r="G5409" i="2" s="1"/>
  <c r="E5428" i="2"/>
  <c r="G5428" i="2" s="1"/>
  <c r="E5437" i="2"/>
  <c r="G5447" i="2"/>
  <c r="F5451" i="2"/>
  <c r="G5451" i="2" s="1"/>
  <c r="F5471" i="2"/>
  <c r="E5484" i="2"/>
  <c r="G5484" i="2" s="1"/>
  <c r="E5489" i="2"/>
  <c r="E5496" i="2"/>
  <c r="F5502" i="2"/>
  <c r="F5611" i="2"/>
  <c r="F5665" i="2"/>
  <c r="G5665" i="2" s="1"/>
  <c r="D83" i="3"/>
  <c r="E115" i="3"/>
  <c r="F115" i="3" s="1"/>
  <c r="E119" i="3"/>
  <c r="F119" i="3" s="1"/>
  <c r="E138" i="3"/>
  <c r="F138" i="3" s="1"/>
  <c r="C151" i="3"/>
  <c r="E151" i="3" s="1"/>
  <c r="F151" i="3" s="1"/>
  <c r="F645" i="3"/>
  <c r="F5283" i="2"/>
  <c r="F5329" i="2"/>
  <c r="E140" i="3"/>
  <c r="F140" i="3" s="1"/>
  <c r="D155" i="3"/>
  <c r="E155" i="3" s="1"/>
  <c r="F155" i="3" s="1"/>
  <c r="E121" i="3"/>
  <c r="F121" i="3" s="1"/>
  <c r="F122" i="3"/>
  <c r="F5235" i="2"/>
  <c r="G5235" i="2" s="1"/>
  <c r="F5239" i="2"/>
  <c r="G5239" i="2" s="1"/>
  <c r="F5254" i="2"/>
  <c r="G5254" i="2" s="1"/>
  <c r="F5258" i="2"/>
  <c r="G5258" i="2" s="1"/>
  <c r="F5262" i="2"/>
  <c r="F5272" i="2"/>
  <c r="G5272" i="2" s="1"/>
  <c r="F5276" i="2"/>
  <c r="G5276" i="2" s="1"/>
  <c r="F5413" i="2"/>
  <c r="F5457" i="2"/>
  <c r="F5508" i="2"/>
  <c r="G5508" i="2" s="1"/>
  <c r="F5513" i="2"/>
  <c r="G5513" i="2" s="1"/>
  <c r="F5519" i="2"/>
  <c r="F5626" i="2"/>
  <c r="G5626" i="2" s="1"/>
  <c r="F5691" i="2"/>
  <c r="G5728" i="2"/>
  <c r="H5728" i="2" s="1"/>
  <c r="F219" i="3" s="1"/>
  <c r="E98" i="3"/>
  <c r="F98" i="3" s="1"/>
  <c r="D97" i="3"/>
  <c r="E97" i="3" s="1"/>
  <c r="F97" i="3" s="1"/>
  <c r="F618" i="3"/>
  <c r="F183" i="3"/>
  <c r="D197" i="3"/>
  <c r="D253" i="3"/>
  <c r="E308" i="3"/>
  <c r="F308" i="3" s="1"/>
  <c r="D432" i="3"/>
  <c r="D473" i="3"/>
  <c r="E473" i="3" s="1"/>
  <c r="E626" i="3"/>
  <c r="E723" i="3"/>
  <c r="F771" i="3"/>
  <c r="F761" i="3" s="1"/>
  <c r="F760" i="3" s="1"/>
  <c r="F938" i="3"/>
  <c r="C299" i="3"/>
  <c r="D438" i="3"/>
  <c r="D437" i="3" s="1"/>
  <c r="F1242" i="3"/>
  <c r="F1241" i="3" s="1"/>
  <c r="D478" i="3"/>
  <c r="E478" i="3" s="1"/>
  <c r="D690" i="3"/>
  <c r="E737" i="3"/>
  <c r="D761" i="3"/>
  <c r="E779" i="3"/>
  <c r="D955" i="3"/>
  <c r="E955" i="3" s="1"/>
  <c r="E1018" i="3"/>
  <c r="D1114" i="3"/>
  <c r="F1121" i="3"/>
  <c r="F1131" i="3"/>
  <c r="E1229" i="3"/>
  <c r="C1253" i="3"/>
  <c r="F222" i="4"/>
  <c r="G222" i="4" s="1"/>
  <c r="E221" i="4"/>
  <c r="G402" i="4"/>
  <c r="G415" i="4"/>
  <c r="F235" i="4"/>
  <c r="G235" i="4" s="1"/>
  <c r="G440" i="4"/>
  <c r="E446" i="4"/>
  <c r="F446" i="4" s="1"/>
  <c r="D785" i="3"/>
  <c r="E785" i="3" s="1"/>
  <c r="D874" i="3"/>
  <c r="D902" i="3"/>
  <c r="E902" i="3" s="1"/>
  <c r="F902" i="3" s="1"/>
  <c r="D907" i="3"/>
  <c r="D944" i="3"/>
  <c r="D974" i="3"/>
  <c r="E1024" i="3"/>
  <c r="D1192" i="3"/>
  <c r="D1292" i="3"/>
  <c r="D1363" i="3"/>
  <c r="E127" i="4"/>
  <c r="E181" i="4"/>
  <c r="F211" i="4"/>
  <c r="G211" i="4" s="1"/>
  <c r="E210" i="4"/>
  <c r="G213" i="4"/>
  <c r="G215" i="4"/>
  <c r="F513" i="4"/>
  <c r="D483" i="4"/>
  <c r="F483" i="4" s="1"/>
  <c r="E338" i="4"/>
  <c r="D527" i="4"/>
  <c r="E566" i="4"/>
  <c r="F573" i="4"/>
  <c r="E572" i="4"/>
  <c r="F572" i="4" s="1"/>
  <c r="F588" i="4"/>
  <c r="E375" i="4"/>
  <c r="F375" i="4" s="1"/>
  <c r="F580" i="4"/>
  <c r="F601" i="4"/>
  <c r="F732" i="4"/>
  <c r="G732" i="4" s="1"/>
  <c r="E731" i="4"/>
  <c r="D615" i="4"/>
  <c r="E632" i="4"/>
  <c r="E685" i="4"/>
  <c r="E722" i="4"/>
  <c r="F722" i="4" s="1"/>
  <c r="G722" i="4" s="1"/>
  <c r="E739" i="4"/>
  <c r="E746" i="4"/>
  <c r="F746" i="4" s="1"/>
  <c r="G746" i="4" s="1"/>
  <c r="E774" i="4"/>
  <c r="F774" i="4" s="1"/>
  <c r="E784" i="4"/>
  <c r="F784" i="4" s="1"/>
  <c r="F790" i="4"/>
  <c r="F801" i="4"/>
  <c r="G801" i="4" s="1"/>
  <c r="F911" i="4"/>
  <c r="E942" i="4"/>
  <c r="E941" i="4" s="1"/>
  <c r="G945" i="4"/>
  <c r="G942" i="4" s="1"/>
  <c r="G941" i="4" s="1"/>
  <c r="F945" i="4"/>
  <c r="F964" i="4"/>
  <c r="F1008" i="4"/>
  <c r="G1008" i="4" s="1"/>
  <c r="E669" i="4"/>
  <c r="E719" i="4"/>
  <c r="F719" i="4" s="1"/>
  <c r="G719" i="4" s="1"/>
  <c r="F751" i="4"/>
  <c r="F804" i="4"/>
  <c r="G804" i="4" s="1"/>
  <c r="G900" i="4"/>
  <c r="E897" i="4"/>
  <c r="F932" i="4"/>
  <c r="F1037" i="4"/>
  <c r="G1037" i="4" s="1"/>
  <c r="F1054" i="4"/>
  <c r="G1054" i="4" s="1"/>
  <c r="E1066" i="4"/>
  <c r="E1077" i="4"/>
  <c r="F1077" i="4" s="1"/>
  <c r="F1100" i="4"/>
  <c r="E704" i="4"/>
  <c r="E717" i="4"/>
  <c r="E741" i="4"/>
  <c r="F741" i="4" s="1"/>
  <c r="G741" i="4" s="1"/>
  <c r="F811" i="4"/>
  <c r="G811" i="4" s="1"/>
  <c r="E800" i="4"/>
  <c r="E859" i="4"/>
  <c r="F900" i="4"/>
  <c r="F904" i="4"/>
  <c r="F914" i="4"/>
  <c r="D921" i="4"/>
  <c r="D920" i="4" s="1"/>
  <c r="D942" i="4"/>
  <c r="D941" i="4" s="1"/>
  <c r="F952" i="4"/>
  <c r="F969" i="4"/>
  <c r="G969" i="4" s="1"/>
  <c r="E968" i="4"/>
  <c r="F1012" i="4"/>
  <c r="G1012" i="4" s="1"/>
  <c r="E1023" i="4"/>
  <c r="F1026" i="4"/>
  <c r="G1026" i="4" s="1"/>
  <c r="F1074" i="4"/>
  <c r="G1074" i="4" s="1"/>
  <c r="F1084" i="4"/>
  <c r="D1133" i="4"/>
  <c r="D1132" i="4" s="1"/>
  <c r="F1132" i="4" s="1"/>
  <c r="E844" i="4"/>
  <c r="F844" i="4" s="1"/>
  <c r="G844" i="4" s="1"/>
  <c r="E1018" i="4"/>
  <c r="F1018" i="4" s="1"/>
  <c r="G447" i="4" l="1"/>
  <c r="G446" i="4" s="1"/>
  <c r="G3473" i="2"/>
  <c r="E194" i="5"/>
  <c r="E13" i="5"/>
  <c r="F13" i="5" s="1"/>
  <c r="H4124" i="2"/>
  <c r="G1766" i="2"/>
  <c r="G2935" i="2"/>
  <c r="F14" i="5"/>
  <c r="G14" i="5" s="1"/>
  <c r="G194" i="5" s="1"/>
  <c r="E779" i="4"/>
  <c r="E865" i="4"/>
  <c r="F865" i="4" s="1"/>
  <c r="D715" i="4"/>
  <c r="F715" i="4" s="1"/>
  <c r="F447" i="4"/>
  <c r="D631" i="4"/>
  <c r="F731" i="4"/>
  <c r="G731" i="4" s="1"/>
  <c r="G5502" i="2"/>
  <c r="E4455" i="2"/>
  <c r="E4454" i="2" s="1"/>
  <c r="G4454" i="2" s="1"/>
  <c r="H4454" i="2" s="1"/>
  <c r="G1676" i="2"/>
  <c r="F1302" i="2"/>
  <c r="G1302" i="2" s="1"/>
  <c r="F5004" i="2"/>
  <c r="G5612" i="2"/>
  <c r="G1526" i="2"/>
  <c r="G1715" i="2"/>
  <c r="G2139" i="2"/>
  <c r="G2214" i="2"/>
  <c r="F1066" i="4"/>
  <c r="G1066" i="4" s="1"/>
  <c r="D614" i="4"/>
  <c r="G5611" i="2"/>
  <c r="G3931" i="2"/>
  <c r="F3930" i="2"/>
  <c r="H2261" i="2"/>
  <c r="G1981" i="2"/>
  <c r="E110" i="3"/>
  <c r="F110" i="3" s="1"/>
  <c r="G1304" i="2"/>
  <c r="E482" i="3"/>
  <c r="C488" i="3"/>
  <c r="E488" i="3" s="1"/>
  <c r="E1041" i="3"/>
  <c r="F1041" i="3" s="1"/>
  <c r="F1040" i="3" s="1"/>
  <c r="C13" i="3"/>
  <c r="D13" i="3"/>
  <c r="F1078" i="4"/>
  <c r="E614" i="4"/>
  <c r="F614" i="4" s="1"/>
  <c r="G386" i="4"/>
  <c r="G385" i="4" s="1"/>
  <c r="D587" i="3"/>
  <c r="E587" i="3" s="1"/>
  <c r="E464" i="3"/>
  <c r="E714" i="3"/>
  <c r="F714" i="3" s="1"/>
  <c r="E617" i="3"/>
  <c r="E197" i="3"/>
  <c r="F197" i="3" s="1"/>
  <c r="F1060" i="2"/>
  <c r="G1060" i="2" s="1"/>
  <c r="G16" i="2"/>
  <c r="G645" i="2"/>
  <c r="G5691" i="2"/>
  <c r="F3891" i="2"/>
  <c r="G3891" i="2" s="1"/>
  <c r="G1830" i="2"/>
  <c r="G5133" i="2"/>
  <c r="H5133" i="2" s="1"/>
  <c r="G5554" i="2"/>
  <c r="G5457" i="2"/>
  <c r="G5382" i="2"/>
  <c r="G5169" i="2"/>
  <c r="H5169" i="2" s="1"/>
  <c r="G2283" i="2"/>
  <c r="G1724" i="2"/>
  <c r="G2919" i="2"/>
  <c r="G2895" i="2"/>
  <c r="G2224" i="2"/>
  <c r="H5181" i="2"/>
  <c r="E5004" i="2"/>
  <c r="G3481" i="2"/>
  <c r="G2313" i="2"/>
  <c r="G1906" i="2"/>
  <c r="G2729" i="2"/>
  <c r="G4653" i="2"/>
  <c r="G5262" i="2"/>
  <c r="G4366" i="2"/>
  <c r="H4001" i="2"/>
  <c r="E1292" i="2"/>
  <c r="G1292" i="2" s="1"/>
  <c r="G5322" i="2"/>
  <c r="G631" i="2"/>
  <c r="G2149" i="2"/>
  <c r="G403" i="2"/>
  <c r="G2096" i="2"/>
  <c r="G1694" i="2"/>
  <c r="E3841" i="2"/>
  <c r="F3268" i="2"/>
  <c r="G3268" i="2" s="1"/>
  <c r="H3268" i="2" s="1"/>
  <c r="G606" i="2"/>
  <c r="G5496" i="2"/>
  <c r="G2238" i="2"/>
  <c r="G4001" i="2"/>
  <c r="G1925" i="2"/>
  <c r="H2595" i="2"/>
  <c r="H2283" i="2"/>
  <c r="H2260" i="2" s="1"/>
  <c r="H4880" i="2"/>
  <c r="G4606" i="2"/>
  <c r="H1989" i="2"/>
  <c r="H2382" i="2"/>
  <c r="G1681" i="2"/>
  <c r="G4124" i="2"/>
  <c r="H2149" i="2"/>
  <c r="G3136" i="2"/>
  <c r="H2238" i="2"/>
  <c r="F923" i="2"/>
  <c r="G923" i="2" s="1"/>
  <c r="G2181" i="2"/>
  <c r="H2181" i="2" s="1"/>
  <c r="G2980" i="2"/>
  <c r="G5329" i="2"/>
  <c r="G5471" i="2"/>
  <c r="G5125" i="2"/>
  <c r="H5125" i="2" s="1"/>
  <c r="G4538" i="2"/>
  <c r="F3742" i="2"/>
  <c r="G3742" i="2" s="1"/>
  <c r="G3597" i="2"/>
  <c r="H3597" i="2" s="1"/>
  <c r="G2473" i="2"/>
  <c r="G4512" i="2"/>
  <c r="H2404" i="2"/>
  <c r="H839" i="2"/>
  <c r="H362" i="2"/>
  <c r="H1804" i="2"/>
  <c r="H2045" i="2"/>
  <c r="G3491" i="2"/>
  <c r="G2654" i="2"/>
  <c r="H2654" i="2" s="1"/>
  <c r="G5059" i="2"/>
  <c r="H5059" i="2" s="1"/>
  <c r="F985" i="2"/>
  <c r="G985" i="2" s="1"/>
  <c r="G2929" i="2"/>
  <c r="G1916" i="2"/>
  <c r="G3112" i="2"/>
  <c r="G2888" i="2"/>
  <c r="G4575" i="2"/>
  <c r="E4460" i="2"/>
  <c r="F2260" i="2"/>
  <c r="F2044" i="2" s="1"/>
  <c r="G4461" i="2"/>
  <c r="G2353" i="2"/>
  <c r="E2594" i="2"/>
  <c r="G5115" i="2"/>
  <c r="H5115" i="2" s="1"/>
  <c r="G3022" i="2"/>
  <c r="G2653" i="2"/>
  <c r="H2653" i="2" s="1"/>
  <c r="G5437" i="2"/>
  <c r="G5245" i="2"/>
  <c r="G5593" i="2"/>
  <c r="E1581" i="2"/>
  <c r="E2739" i="2"/>
  <c r="H2132" i="2"/>
  <c r="G2684" i="2"/>
  <c r="H2684" i="2" s="1"/>
  <c r="G2045" i="2"/>
  <c r="G1787" i="2"/>
  <c r="H1087" i="2"/>
  <c r="E14" i="3"/>
  <c r="F14" i="3" s="1"/>
  <c r="D789" i="3"/>
  <c r="E789" i="3" s="1"/>
  <c r="D1088" i="3"/>
  <c r="E1088" i="3" s="1"/>
  <c r="E588" i="3"/>
  <c r="D1322" i="3"/>
  <c r="D1321" i="3" s="1"/>
  <c r="E1321" i="3" s="1"/>
  <c r="E1012" i="3"/>
  <c r="E193" i="3"/>
  <c r="F193" i="3" s="1"/>
  <c r="C616" i="3"/>
  <c r="E616" i="3" s="1"/>
  <c r="F937" i="3"/>
  <c r="F936" i="3" s="1"/>
  <c r="E114" i="3"/>
  <c r="F114" i="3" s="1"/>
  <c r="E159" i="3"/>
  <c r="F159" i="3" s="1"/>
  <c r="E1226" i="3"/>
  <c r="F587" i="3"/>
  <c r="F535" i="3" s="1"/>
  <c r="E370" i="3"/>
  <c r="D1225" i="3"/>
  <c r="E1225" i="3" s="1"/>
  <c r="F1225" i="3"/>
  <c r="C317" i="3"/>
  <c r="E663" i="3"/>
  <c r="C437" i="3"/>
  <c r="C436" i="3" s="1"/>
  <c r="E318" i="3"/>
  <c r="D317" i="3"/>
  <c r="E317" i="3" s="1"/>
  <c r="D222" i="3"/>
  <c r="E222" i="3" s="1"/>
  <c r="E722" i="3"/>
  <c r="D1040" i="3"/>
  <c r="E1040" i="3" s="1"/>
  <c r="C535" i="3"/>
  <c r="E721" i="3"/>
  <c r="E1164" i="3"/>
  <c r="E1163" i="3" s="1"/>
  <c r="F305" i="3"/>
  <c r="E299" i="3"/>
  <c r="F299" i="3"/>
  <c r="G4926" i="2"/>
  <c r="H4926" i="2" s="1"/>
  <c r="G5150" i="2"/>
  <c r="H5150" i="2" s="1"/>
  <c r="H2472" i="2"/>
  <c r="G4895" i="2"/>
  <c r="H4895" i="2" s="1"/>
  <c r="G624" i="2"/>
  <c r="G4956" i="2"/>
  <c r="H4956" i="2" s="1"/>
  <c r="G2953" i="2"/>
  <c r="H1830" i="2"/>
  <c r="G5489" i="2"/>
  <c r="F3842" i="2"/>
  <c r="G3842" i="2" s="1"/>
  <c r="G4854" i="2"/>
  <c r="H2139" i="2"/>
  <c r="H2464" i="2"/>
  <c r="E1803" i="2"/>
  <c r="G5651" i="2"/>
  <c r="G5005" i="2"/>
  <c r="H5005" i="2" s="1"/>
  <c r="G4600" i="2"/>
  <c r="E3544" i="2"/>
  <c r="E3040" i="2"/>
  <c r="G2164" i="2"/>
  <c r="H2164" i="2" s="1"/>
  <c r="H462" i="2"/>
  <c r="G5413" i="2"/>
  <c r="G4663" i="2"/>
  <c r="G4433" i="2"/>
  <c r="H4433" i="2" s="1"/>
  <c r="F3663" i="2"/>
  <c r="G3663" i="2" s="1"/>
  <c r="H3663" i="2" s="1"/>
  <c r="E2312" i="2"/>
  <c r="H2096" i="2"/>
  <c r="H2214" i="2"/>
  <c r="H1302" i="2"/>
  <c r="G4549" i="2"/>
  <c r="G675" i="2"/>
  <c r="H233" i="2"/>
  <c r="F4073" i="2"/>
  <c r="G4073" i="2" s="1"/>
  <c r="G4880" i="2"/>
  <c r="G484" i="4"/>
  <c r="G483" i="4" s="1"/>
  <c r="F386" i="4"/>
  <c r="E385" i="4"/>
  <c r="F385" i="4" s="1"/>
  <c r="E1002" i="4"/>
  <c r="F1002" i="4" s="1"/>
  <c r="F617" i="3"/>
  <c r="F616" i="3" s="1"/>
  <c r="H2224" i="2"/>
  <c r="G1989" i="2"/>
  <c r="D194" i="5"/>
  <c r="H194" i="5" s="1"/>
  <c r="E1136" i="3"/>
  <c r="D1135" i="3"/>
  <c r="E1135" i="3" s="1"/>
  <c r="F1135" i="3" s="1"/>
  <c r="F942" i="4"/>
  <c r="G5109" i="2"/>
  <c r="H5109" i="2" s="1"/>
  <c r="G631" i="4"/>
  <c r="G273" i="4"/>
  <c r="E536" i="3"/>
  <c r="D535" i="3"/>
  <c r="E664" i="3"/>
  <c r="E125" i="3"/>
  <c r="F125" i="3" s="1"/>
  <c r="G574" i="2"/>
  <c r="G516" i="2"/>
  <c r="H16" i="2"/>
  <c r="H5517" i="2"/>
  <c r="E5517" i="2"/>
  <c r="G5283" i="2"/>
  <c r="G1617" i="2"/>
  <c r="G4676" i="2"/>
  <c r="F4548" i="2"/>
  <c r="H2353" i="2"/>
  <c r="H3040" i="2"/>
  <c r="G5621" i="2"/>
  <c r="E5620" i="2"/>
  <c r="G5620" i="2" s="1"/>
  <c r="H4084" i="2"/>
  <c r="G3637" i="2"/>
  <c r="H3637" i="2" s="1"/>
  <c r="F3636" i="2"/>
  <c r="G3636" i="2" s="1"/>
  <c r="H3636" i="2" s="1"/>
  <c r="G2740" i="2"/>
  <c r="G4627" i="2"/>
  <c r="G2027" i="2"/>
  <c r="G998" i="2"/>
  <c r="F997" i="2"/>
  <c r="G997" i="2" s="1"/>
  <c r="F839" i="2"/>
  <c r="G839" i="2" s="1"/>
  <c r="H1846" i="2"/>
  <c r="H4104" i="2"/>
  <c r="G5071" i="2"/>
  <c r="H5071" i="2" s="1"/>
  <c r="H3415" i="2"/>
  <c r="H2894" i="2"/>
  <c r="F1757" i="2"/>
  <c r="G1757" i="2" s="1"/>
  <c r="G1758" i="2"/>
  <c r="G1582" i="2"/>
  <c r="G946" i="2"/>
  <c r="F945" i="2"/>
  <c r="G945" i="2" s="1"/>
  <c r="G2261" i="2"/>
  <c r="E2260" i="2"/>
  <c r="G1846" i="2"/>
  <c r="H4548" i="2"/>
  <c r="H3267" i="2"/>
  <c r="F3434" i="2"/>
  <c r="G3434" i="2" s="1"/>
  <c r="E5321" i="2"/>
  <c r="E5181" i="2" s="1"/>
  <c r="E4852" i="2"/>
  <c r="E4548" i="2"/>
  <c r="G3783" i="2"/>
  <c r="F3782" i="2"/>
  <c r="G3782" i="2" s="1"/>
  <c r="E2894" i="2"/>
  <c r="H2739" i="2"/>
  <c r="H687" i="2"/>
  <c r="E3953" i="2"/>
  <c r="G13" i="5"/>
  <c r="F800" i="4"/>
  <c r="G800" i="4" s="1"/>
  <c r="G799" i="4" s="1"/>
  <c r="F704" i="4"/>
  <c r="E703" i="4"/>
  <c r="F703" i="4" s="1"/>
  <c r="F632" i="4"/>
  <c r="E631" i="4"/>
  <c r="F631" i="4" s="1"/>
  <c r="F338" i="4"/>
  <c r="E337" i="4"/>
  <c r="F337" i="4" s="1"/>
  <c r="E944" i="3"/>
  <c r="D937" i="3"/>
  <c r="E690" i="3"/>
  <c r="D689" i="3"/>
  <c r="E689" i="3" s="1"/>
  <c r="C252" i="3"/>
  <c r="E253" i="3"/>
  <c r="F253" i="3" s="1"/>
  <c r="D252" i="3"/>
  <c r="F5321" i="2"/>
  <c r="F5181" i="2" s="1"/>
  <c r="G5089" i="2"/>
  <c r="H5089" i="2" s="1"/>
  <c r="F3040" i="2"/>
  <c r="G3041" i="2"/>
  <c r="G3672" i="2"/>
  <c r="H3672" i="2" s="1"/>
  <c r="F3671" i="2"/>
  <c r="G3671" i="2" s="1"/>
  <c r="H3671" i="2" s="1"/>
  <c r="E3415" i="2"/>
  <c r="G2529" i="2"/>
  <c r="E2472" i="2"/>
  <c r="G2472" i="2" s="1"/>
  <c r="H2313" i="2"/>
  <c r="G1026" i="2"/>
  <c r="F1025" i="2"/>
  <c r="G1025" i="2" s="1"/>
  <c r="G941" i="2"/>
  <c r="F940" i="2"/>
  <c r="G940" i="2" s="1"/>
  <c r="F2894" i="2"/>
  <c r="F920" i="4"/>
  <c r="F669" i="4"/>
  <c r="G669" i="4" s="1"/>
  <c r="F739" i="4"/>
  <c r="G739" i="4" s="1"/>
  <c r="E738" i="4"/>
  <c r="F738" i="4" s="1"/>
  <c r="G738" i="4" s="1"/>
  <c r="F181" i="4"/>
  <c r="D1291" i="3"/>
  <c r="E1291" i="3" s="1"/>
  <c r="E1292" i="3"/>
  <c r="E907" i="3"/>
  <c r="D906" i="3"/>
  <c r="E906" i="3" s="1"/>
  <c r="E273" i="4"/>
  <c r="F273" i="4" s="1"/>
  <c r="E1253" i="3"/>
  <c r="F1253" i="3" s="1"/>
  <c r="F1252" i="3" s="1"/>
  <c r="C1252" i="3"/>
  <c r="E1252" i="3" s="1"/>
  <c r="F1114" i="3"/>
  <c r="F1113" i="3" s="1"/>
  <c r="E1114" i="3"/>
  <c r="D1113" i="3"/>
  <c r="E1113" i="3" s="1"/>
  <c r="D369" i="3"/>
  <c r="E369" i="3" s="1"/>
  <c r="E432" i="3"/>
  <c r="F432" i="3" s="1"/>
  <c r="F369" i="3" s="1"/>
  <c r="F5517" i="2"/>
  <c r="F5518" i="2"/>
  <c r="G5519" i="2"/>
  <c r="G5342" i="2"/>
  <c r="F5341" i="2"/>
  <c r="G4966" i="2"/>
  <c r="H4966" i="2" s="1"/>
  <c r="F4965" i="2"/>
  <c r="H4389" i="2"/>
  <c r="G4389" i="2"/>
  <c r="G3904" i="2"/>
  <c r="F3903" i="2"/>
  <c r="G3903" i="2" s="1"/>
  <c r="F3871" i="2"/>
  <c r="G3585" i="2"/>
  <c r="H3585" i="2" s="1"/>
  <c r="F3582" i="2"/>
  <c r="G3582" i="2" s="1"/>
  <c r="H3582" i="2" s="1"/>
  <c r="G4853" i="2"/>
  <c r="F4852" i="2"/>
  <c r="G3705" i="2"/>
  <c r="E4344" i="2"/>
  <c r="G2848" i="2"/>
  <c r="F2739" i="2"/>
  <c r="G2404" i="2"/>
  <c r="G2132" i="2"/>
  <c r="F1581" i="2"/>
  <c r="G1608" i="2"/>
  <c r="G929" i="2"/>
  <c r="F928" i="2"/>
  <c r="G928" i="2" s="1"/>
  <c r="G1804" i="2"/>
  <c r="F1803" i="2"/>
  <c r="G2595" i="2"/>
  <c r="G1282" i="2"/>
  <c r="E1281" i="2"/>
  <c r="G1281" i="2" s="1"/>
  <c r="E15" i="2"/>
  <c r="E1087" i="2"/>
  <c r="F897" i="4"/>
  <c r="E896" i="4"/>
  <c r="F896" i="4" s="1"/>
  <c r="G897" i="4"/>
  <c r="G896" i="4" s="1"/>
  <c r="E778" i="4"/>
  <c r="F778" i="4" s="1"/>
  <c r="F779" i="4"/>
  <c r="G1003" i="4"/>
  <c r="G1002" i="4" s="1"/>
  <c r="F941" i="4"/>
  <c r="F921" i="4"/>
  <c r="F615" i="4"/>
  <c r="E548" i="4"/>
  <c r="F548" i="4" s="1"/>
  <c r="F566" i="4"/>
  <c r="G566" i="4" s="1"/>
  <c r="G548" i="4" s="1"/>
  <c r="E14" i="4"/>
  <c r="F127" i="4"/>
  <c r="G127" i="4" s="1"/>
  <c r="G14" i="4" s="1"/>
  <c r="D1191" i="3"/>
  <c r="E1192" i="3"/>
  <c r="E761" i="3"/>
  <c r="D760" i="3"/>
  <c r="E760" i="3" s="1"/>
  <c r="E438" i="3"/>
  <c r="E83" i="3"/>
  <c r="F83" i="3" s="1"/>
  <c r="F4460" i="2"/>
  <c r="G4483" i="2"/>
  <c r="H4345" i="2"/>
  <c r="G4345" i="2"/>
  <c r="F4344" i="2"/>
  <c r="G3954" i="2"/>
  <c r="F4207" i="2"/>
  <c r="G4207" i="2" s="1"/>
  <c r="E4965" i="2"/>
  <c r="F3545" i="2"/>
  <c r="G2434" i="2"/>
  <c r="H2434" i="2" s="1"/>
  <c r="F2312" i="2"/>
  <c r="F2594" i="2"/>
  <c r="G2617" i="2"/>
  <c r="H2617" i="2" s="1"/>
  <c r="F687" i="2"/>
  <c r="G1037" i="2"/>
  <c r="F1036" i="2"/>
  <c r="G1036" i="2" s="1"/>
  <c r="E1135" i="2"/>
  <c r="G1135" i="2" s="1"/>
  <c r="E1022" i="4"/>
  <c r="F1022" i="4" s="1"/>
  <c r="F1023" i="4"/>
  <c r="G1023" i="4" s="1"/>
  <c r="G1022" i="4" s="1"/>
  <c r="F968" i="4"/>
  <c r="G968" i="4" s="1"/>
  <c r="G967" i="4" s="1"/>
  <c r="E967" i="4"/>
  <c r="F967" i="4" s="1"/>
  <c r="E858" i="4"/>
  <c r="F858" i="4" s="1"/>
  <c r="F859" i="4"/>
  <c r="G859" i="4" s="1"/>
  <c r="E716" i="4"/>
  <c r="F716" i="4" s="1"/>
  <c r="G716" i="4" s="1"/>
  <c r="G715" i="4" s="1"/>
  <c r="F717" i="4"/>
  <c r="G717" i="4" s="1"/>
  <c r="F685" i="4"/>
  <c r="G685" i="4" s="1"/>
  <c r="E684" i="4"/>
  <c r="F684" i="4" s="1"/>
  <c r="G684" i="4" s="1"/>
  <c r="E750" i="4"/>
  <c r="F527" i="4"/>
  <c r="D526" i="4"/>
  <c r="F526" i="4" s="1"/>
  <c r="F210" i="4"/>
  <c r="G210" i="4" s="1"/>
  <c r="D1362" i="3"/>
  <c r="E1362" i="3" s="1"/>
  <c r="E1363" i="3"/>
  <c r="E974" i="3"/>
  <c r="D973" i="3"/>
  <c r="E973" i="3" s="1"/>
  <c r="E874" i="3"/>
  <c r="F874" i="3" s="1"/>
  <c r="D873" i="3"/>
  <c r="F221" i="4"/>
  <c r="G221" i="4" s="1"/>
  <c r="E220" i="4"/>
  <c r="E180" i="4" s="1"/>
  <c r="E311" i="3"/>
  <c r="F311" i="3" s="1"/>
  <c r="E713" i="3"/>
  <c r="F713" i="3" s="1"/>
  <c r="F712" i="3" s="1"/>
  <c r="F689" i="3" s="1"/>
  <c r="D712" i="3"/>
  <c r="E712" i="3" s="1"/>
  <c r="E288" i="3"/>
  <c r="F288" i="3" s="1"/>
  <c r="G5182" i="2"/>
  <c r="E5341" i="2"/>
  <c r="G4677" i="2"/>
  <c r="H4677" i="2" s="1"/>
  <c r="G4678" i="2"/>
  <c r="H4678" i="2" s="1"/>
  <c r="G4775" i="2"/>
  <c r="H4775" i="2" s="1"/>
  <c r="H4395" i="2"/>
  <c r="G4395" i="2"/>
  <c r="G3605" i="2"/>
  <c r="H3605" i="2" s="1"/>
  <c r="F3604" i="2"/>
  <c r="G3604" i="2" s="1"/>
  <c r="H3604" i="2" s="1"/>
  <c r="G3416" i="2"/>
  <c r="H3545" i="2"/>
  <c r="G979" i="2"/>
  <c r="F978" i="2"/>
  <c r="G978" i="2" s="1"/>
  <c r="G916" i="2"/>
  <c r="F915" i="2"/>
  <c r="G915" i="2" s="1"/>
  <c r="E1266" i="2"/>
  <c r="G1266" i="2" s="1"/>
  <c r="F15" i="2"/>
  <c r="G85" i="2"/>
  <c r="H85" i="2" s="1"/>
  <c r="E1167" i="2"/>
  <c r="G1167" i="2" s="1"/>
  <c r="G4455" i="2" l="1"/>
  <c r="H4455" i="2" s="1"/>
  <c r="G5004" i="2"/>
  <c r="H5004" i="2" s="1"/>
  <c r="E1322" i="3"/>
  <c r="G1803" i="2"/>
  <c r="G5517" i="2"/>
  <c r="G2739" i="2"/>
  <c r="G3040" i="2"/>
  <c r="G2312" i="2"/>
  <c r="F3267" i="2"/>
  <c r="G3267" i="2" s="1"/>
  <c r="G2260" i="2"/>
  <c r="F3704" i="2"/>
  <c r="G3704" i="2" s="1"/>
  <c r="H4852" i="2"/>
  <c r="G1581" i="2"/>
  <c r="H1803" i="2"/>
  <c r="G4344" i="2"/>
  <c r="G4460" i="2"/>
  <c r="H4965" i="2"/>
  <c r="H2044" i="2"/>
  <c r="H2594" i="2"/>
  <c r="G4852" i="2"/>
  <c r="H3953" i="2"/>
  <c r="G2594" i="2"/>
  <c r="E1011" i="3"/>
  <c r="E535" i="3"/>
  <c r="H4676" i="2"/>
  <c r="F3953" i="2"/>
  <c r="G3953" i="2" s="1"/>
  <c r="G4548" i="2"/>
  <c r="H15" i="2"/>
  <c r="F3415" i="2"/>
  <c r="G3415" i="2" s="1"/>
  <c r="E2044" i="2"/>
  <c r="G2044" i="2" s="1"/>
  <c r="G2894" i="2"/>
  <c r="G5321" i="2"/>
  <c r="F194" i="5"/>
  <c r="G15" i="2"/>
  <c r="G5181" i="2"/>
  <c r="F220" i="4"/>
  <c r="G220" i="4" s="1"/>
  <c r="D1190" i="3"/>
  <c r="E1190" i="3" s="1"/>
  <c r="E1191" i="3"/>
  <c r="G3871" i="2"/>
  <c r="E668" i="4"/>
  <c r="H2312" i="2"/>
  <c r="C221" i="3"/>
  <c r="C1401" i="3" s="1"/>
  <c r="E749" i="4"/>
  <c r="F749" i="4" s="1"/>
  <c r="F750" i="4"/>
  <c r="G3545" i="2"/>
  <c r="F3544" i="2"/>
  <c r="G3544" i="2" s="1"/>
  <c r="G4965" i="2"/>
  <c r="G668" i="4"/>
  <c r="G667" i="4"/>
  <c r="G3930" i="2"/>
  <c r="E252" i="3"/>
  <c r="F252" i="3" s="1"/>
  <c r="E799" i="4"/>
  <c r="F799" i="4" s="1"/>
  <c r="H4344" i="2"/>
  <c r="E13" i="3"/>
  <c r="F13" i="3" s="1"/>
  <c r="F14" i="4"/>
  <c r="G5341" i="2"/>
  <c r="H3544" i="2"/>
  <c r="D872" i="3"/>
  <c r="E872" i="3" s="1"/>
  <c r="F872" i="3" s="1"/>
  <c r="E873" i="3"/>
  <c r="F873" i="3" s="1"/>
  <c r="G687" i="2"/>
  <c r="E437" i="3"/>
  <c r="D436" i="3"/>
  <c r="D148" i="4"/>
  <c r="D1171" i="4" s="1"/>
  <c r="G1087" i="2"/>
  <c r="F3841" i="2"/>
  <c r="G3841" i="2" s="1"/>
  <c r="E937" i="3"/>
  <c r="D936" i="3"/>
  <c r="E936" i="3" s="1"/>
  <c r="E686" i="2" l="1"/>
  <c r="E5731" i="2" s="1"/>
  <c r="F221" i="3"/>
  <c r="F1401" i="3" s="1"/>
  <c r="H686" i="2"/>
  <c r="H5731" i="2" s="1"/>
  <c r="F686" i="2"/>
  <c r="F5731" i="2" s="1"/>
  <c r="F180" i="4"/>
  <c r="G180" i="4" s="1"/>
  <c r="G148" i="4" s="1"/>
  <c r="G1171" i="4" s="1"/>
  <c r="E436" i="3"/>
  <c r="D221" i="3"/>
  <c r="E667" i="4"/>
  <c r="F667" i="4" s="1"/>
  <c r="F668" i="4"/>
  <c r="G5731" i="2" l="1"/>
  <c r="E148" i="4"/>
  <c r="F148" i="4" s="1"/>
  <c r="G686" i="2"/>
  <c r="E221" i="3"/>
  <c r="D1401" i="3"/>
  <c r="E1401" i="3" s="1"/>
  <c r="E1171" i="4" l="1"/>
  <c r="F1171" i="4" s="1"/>
</calcChain>
</file>

<file path=xl/comments1.xml><?xml version="1.0" encoding="utf-8"?>
<comments xmlns="http://schemas.openxmlformats.org/spreadsheetml/2006/main">
  <authors>
    <author>ACER</author>
  </authors>
  <commentList>
    <comment ref="E4196" authorId="0" shapeId="0">
      <text>
        <r>
          <rPr>
            <b/>
            <sz val="9"/>
            <color indexed="81"/>
            <rFont val="Tahoma"/>
            <family val="2"/>
          </rPr>
          <t>ACER:</t>
        </r>
        <r>
          <rPr>
            <sz val="9"/>
            <color indexed="81"/>
            <rFont val="Tahoma"/>
            <family val="2"/>
          </rPr>
          <t xml:space="preserve">
Dihilangkan di perubahan anggaran</t>
        </r>
      </text>
    </comment>
  </commentList>
</comments>
</file>

<file path=xl/sharedStrings.xml><?xml version="1.0" encoding="utf-8"?>
<sst xmlns="http://schemas.openxmlformats.org/spreadsheetml/2006/main" count="9006" uniqueCount="4563">
  <si>
    <t xml:space="preserve">ALOKASI PEMBAGIAN DAN PENYALURAN DANA OTONOMI KHUSUS </t>
  </si>
  <si>
    <t xml:space="preserve">ANTARA PROVINSI DAN KABUPATEN/KOTA ATAU NAMA LAIN </t>
  </si>
  <si>
    <t>TAHUN ANGGARAN 2018</t>
  </si>
  <si>
    <t xml:space="preserve">PROVINSI        : PAPUA </t>
  </si>
  <si>
    <t>PENERIMAAN  : Rp5.620.854.115.000</t>
  </si>
  <si>
    <t>Tabel A.1</t>
  </si>
  <si>
    <t>NO.</t>
  </si>
  <si>
    <t>U R A I A N</t>
  </si>
  <si>
    <t>PERMINTAAN PENYALURAN TAHAP I</t>
  </si>
  <si>
    <t>PERMINTAAN PENYALURAN TAHAP II</t>
  </si>
  <si>
    <t>PERMINTAAN PENYALURAN TAHAP III</t>
  </si>
  <si>
    <t>KET</t>
  </si>
  <si>
    <t>ALOKASI ANGGARAN                (Rp. )</t>
  </si>
  <si>
    <t>PROSENTASE ALOKASI  ANGGARAN                        ( % )</t>
  </si>
  <si>
    <t>ALOKASI ANGGARAN (Rp.)</t>
  </si>
  <si>
    <t>REALISASI  PENYALURAN       (Rp.)</t>
  </si>
  <si>
    <t>PROSENTASE REALISASI PENYALURAN (%)</t>
  </si>
  <si>
    <t>ALOKASI ANGGARAN   (Rp.)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</si>
  <si>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</si>
  <si>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</si>
  <si>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</si>
  <si>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</si>
  <si>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</si>
  <si>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</si>
  <si>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</si>
  <si>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</si>
  <si>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</si>
  <si>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</si>
  <si>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</si>
  <si>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I.</t>
  </si>
  <si>
    <t>PROVINSI PAPUA</t>
  </si>
  <si>
    <t>II.</t>
  </si>
  <si>
    <t>KABUPATEN/KOTA</t>
  </si>
  <si>
    <t xml:space="preserve">1.  KABUPATEN MERAUKE </t>
  </si>
  <si>
    <t>2. KABUPATEN  JAYAWIJAYA</t>
  </si>
  <si>
    <t>3. KABUPATEN  JAYAPURA</t>
  </si>
  <si>
    <t xml:space="preserve">4. KABUPATEN  NABIRE </t>
  </si>
  <si>
    <t xml:space="preserve">5. KABUPATEN  KEP. YAPEN </t>
  </si>
  <si>
    <t>6. KABUPATEN  BIAK  NUMFOR</t>
  </si>
  <si>
    <t>7. KABUPATEN  PANIAI</t>
  </si>
  <si>
    <t>8. KABUPATEN  PUNCAK  JAYA</t>
  </si>
  <si>
    <t>9. KABUPATEN MIMIKA</t>
  </si>
  <si>
    <t xml:space="preserve">10. KABUPATEN  BOVEN  DIGOEL </t>
  </si>
  <si>
    <t xml:space="preserve">11. KABUPATEN MAPPI </t>
  </si>
  <si>
    <t>12. KABUPATEN ASMAT</t>
  </si>
  <si>
    <t xml:space="preserve">13. KABUPATEN YAHUKIMO </t>
  </si>
  <si>
    <t xml:space="preserve">14. KABUPATEN  PEG. BINTANG </t>
  </si>
  <si>
    <t xml:space="preserve">15. KABUPATEN  TOLIKARA </t>
  </si>
  <si>
    <t xml:space="preserve">16. KABUPATEN  SARMI   </t>
  </si>
  <si>
    <t xml:space="preserve">17. KABUPATEN  KEEROM  </t>
  </si>
  <si>
    <t xml:space="preserve">18. KABUPATEN  WAROPEN </t>
  </si>
  <si>
    <t>19. KABUPATEN   SUPIORI</t>
  </si>
  <si>
    <t>20. KABUPATEN   MAMBERAMO RAYA</t>
  </si>
  <si>
    <t>21. KABUPATEN   NDUGA</t>
  </si>
  <si>
    <t xml:space="preserve">22. KABUPATEN  LANNY  JAYA  </t>
  </si>
  <si>
    <t>23. KABUPATEN   MAMBERAMO TENGAH</t>
  </si>
  <si>
    <t xml:space="preserve">24. KABUPATEN   YALIMO </t>
  </si>
  <si>
    <t xml:space="preserve">25. KABUPATEN   PUNCAK </t>
  </si>
  <si>
    <t xml:space="preserve">26. KABUPATEN  DOGIYAI  </t>
  </si>
  <si>
    <t xml:space="preserve">27. KABUPATEN  INTAN  JAYA   </t>
  </si>
  <si>
    <t>28. KABUPATEN    DEIYAI</t>
  </si>
  <si>
    <t>29. KOTA  JAYAPURA</t>
  </si>
  <si>
    <t>III</t>
  </si>
  <si>
    <t>PROSPEK</t>
  </si>
  <si>
    <t>KPS</t>
  </si>
  <si>
    <t>GERBANGMAS</t>
  </si>
  <si>
    <t>PERUMAHAN RAKYAT</t>
  </si>
  <si>
    <t xml:space="preserve">PENDIDIKAN </t>
  </si>
  <si>
    <t>BANGGA PAPUA</t>
  </si>
  <si>
    <t>JUMLAH</t>
  </si>
  <si>
    <t>REKAPITULASI ALOKASI DAN REALISASI PENGGUNAAN DANA OTONOMI KHUSUS</t>
  </si>
  <si>
    <t xml:space="preserve"> DIURAIKAN BERDASARKAN, ORGANISASI, PROGRAM/KEGIATAN PROVINSI DAN KABUPATEN/KOTA ATAU NAMA LAIN</t>
  </si>
  <si>
    <t xml:space="preserve"> TAHUN ANGGARAN 2018 </t>
  </si>
  <si>
    <t xml:space="preserve">PROVINSI         : PAPUA </t>
  </si>
  <si>
    <t xml:space="preserve">Tabel A.3 </t>
  </si>
  <si>
    <t>ALOKASI ANGGARAN 2018 (Rp.)</t>
  </si>
  <si>
    <t>REALISASI ANGGARAN 2018 (Rp.)</t>
  </si>
  <si>
    <t>PROSENTASE REALISASI ANGGARAN (%)</t>
  </si>
  <si>
    <t>CAPAIAN OUTPUT                       ( %)</t>
  </si>
  <si>
    <t>(12)</t>
  </si>
  <si>
    <t>A</t>
  </si>
  <si>
    <t>PROVINSI</t>
  </si>
  <si>
    <t>Dinas Pendidikan</t>
  </si>
  <si>
    <t>Program Pendidikan Menengah Atas</t>
  </si>
  <si>
    <t>Penerapan dan Pelatihan MBS SMA</t>
  </si>
  <si>
    <t>Lomba Debat Bahasa Inggris dan bahasa Indonesia</t>
  </si>
  <si>
    <t>Pengembangan Materi Belajar Mengajar Menggunakan Teknologi Informasi dan Komunikasi</t>
  </si>
  <si>
    <t>Lomba Kompetensi Siswa SMA Tingkat Prov dan Tk.Nasional</t>
  </si>
  <si>
    <t>TOT Guru BIdang Studi SMA</t>
  </si>
  <si>
    <t>Penyelenggaraan akreditasi sekolah menengah</t>
  </si>
  <si>
    <t>Pelatihan Kepala Tata Usaha Sekolah SMA</t>
  </si>
  <si>
    <t>Penyusunan Road Map SMA</t>
  </si>
  <si>
    <t>Program Pendidikan Non Formal</t>
  </si>
  <si>
    <t>Rapat Koordinasi Tim Pengendali Percepatan Tuntas Buta Aksara Provinsi</t>
  </si>
  <si>
    <t>Pembekalan KKN Tematik Percepatan Tuntas Buta Aksara di PKBM</t>
  </si>
  <si>
    <t>Program Pendidikan Luar Biasa</t>
  </si>
  <si>
    <t>Pelatihan kompetensi tenaga pendidik</t>
  </si>
  <si>
    <t>Pelatihan penyusunan kurikulum</t>
  </si>
  <si>
    <t>Pengawasan penyelenggaraan pendidikan</t>
  </si>
  <si>
    <t>Pembinaan minat, bakat dan kreativitas siswa</t>
  </si>
  <si>
    <t>Program Peningkatan Mutu Pendidik dan Tenaga Kependidikan</t>
  </si>
  <si>
    <t>Pelaksanaan sertifikasi pendidik</t>
  </si>
  <si>
    <t>Pelaksanaan uji kompetensi pendidik dan tenaga kependidikan</t>
  </si>
  <si>
    <t>Pembinaan kelompok kerja guru (MGMP dan MKKS)</t>
  </si>
  <si>
    <t>Seleksi dan Pembekalan Guru, Kepsek SMA/SMK/PKLK Berprestasi dan Berdedikasi</t>
  </si>
  <si>
    <t xml:space="preserve">SERTIFIKASI GURU DAN PROGRAM KEAHLIAN SMK </t>
  </si>
  <si>
    <t>Seleksi dan Pengiriman Mahasiswa Calon Guru Produktif SMK</t>
  </si>
  <si>
    <t>Magang Guru Produktif SMK</t>
  </si>
  <si>
    <t>Pelatihan Kompetensi Pendidik Tenaga Kependidikan SMA/SMK/PKLK(Laboratorium, Pustakawan, Arsiparis dan Pengawas Sekolah</t>
  </si>
  <si>
    <t>Program Manajemen Pelayanan Pendidikan</t>
  </si>
  <si>
    <t>Penerapan sistem dan informasi manajemen pendidikan</t>
  </si>
  <si>
    <t>Pelaksanaan Rapat Kerja Teknis</t>
  </si>
  <si>
    <t xml:space="preserve">Pelaksanaan Ujian Nasional dan Ujian Sekolah  </t>
  </si>
  <si>
    <t>Pengembangan Kurikulum dan Kurikulum Muatan Lokal</t>
  </si>
  <si>
    <t>Peningkatan tenaga perencanaan dan ICT</t>
  </si>
  <si>
    <t xml:space="preserve">Pengelolaan PAK (pengelolaan angka kredit) guru, pengawas sekolah, dan pamong belajar </t>
  </si>
  <si>
    <t>Pengembangan Website Pendidikan</t>
  </si>
  <si>
    <t>Supervisi dan Monitoring PBM di Sekolah</t>
  </si>
  <si>
    <t>Rakor Kepala Sekolah SMK</t>
  </si>
  <si>
    <t>Penyusunan Analisa Beban Kerja (ABK)</t>
  </si>
  <si>
    <t>Penyusunan Analisa Jabatan (ANJAB)</t>
  </si>
  <si>
    <t>Bantuan Operasional Sekolah SMA/SMK</t>
  </si>
  <si>
    <t>Rapat Koordinasi Ujian Nasional</t>
  </si>
  <si>
    <t>Penyusunan Perdasus Guru</t>
  </si>
  <si>
    <t>Pendampingan Hukum</t>
  </si>
  <si>
    <t>Pengelolaan Personil, Pendanaan Prasarana dan Dokumen SMA SMK</t>
  </si>
  <si>
    <t>Program Peningkatan SDM Pendidikan Tinggi</t>
  </si>
  <si>
    <t>Beasiswa Pendidikan Pascasarjana (S2)</t>
  </si>
  <si>
    <t>Beasiswa Pendidikan Doctor (S3)</t>
  </si>
  <si>
    <t>Program Pendidikan Khusus dan Layanan Khusus</t>
  </si>
  <si>
    <t>Pembinaan dan Pengembangan PK/PLK</t>
  </si>
  <si>
    <t xml:space="preserve">Penyediaan guru kontrak  SD-SMP dan SMA Model Pendidikan layanan khusus Satu atap berasrama </t>
  </si>
  <si>
    <t>Makan dan Minum Siswa SMA N 3 dan SMANKOR</t>
  </si>
  <si>
    <t>Biaya Operasional KPG,SMA N 3 Buper dan SMA N Keberbakatan Olahraga</t>
  </si>
  <si>
    <t>Biaya Pelatihan Bahasa Inggris</t>
  </si>
  <si>
    <t>Pengadaan Meubeler</t>
  </si>
  <si>
    <t>Penyusunan Road Map PKLK</t>
  </si>
  <si>
    <t>Program Pendidikan Menengah Kejuruan</t>
  </si>
  <si>
    <t>Lomba Ketrampilan Siswa (LKS-SMK)</t>
  </si>
  <si>
    <t>TOT Master Trainer Guru SMK</t>
  </si>
  <si>
    <t>Penyediaan Beasiswa bagi Anak Asli Papua SMK</t>
  </si>
  <si>
    <t>Lomba Debat Bahasa Inggris dan Bahasa Indonesia</t>
  </si>
  <si>
    <t>Sertifikasi Siswa SMK</t>
  </si>
  <si>
    <t>TOT Penyusunan Kurikulum SMK</t>
  </si>
  <si>
    <t>Pembinaan Musyawarah Kelompok Kerja Kepala Sekolah SMK</t>
  </si>
  <si>
    <t>Penyediaan BOMSDA untuk siswa SMK</t>
  </si>
  <si>
    <t>Penyediaan Waktu Materikulasi Siswa OAP di Kelas Awal SMK</t>
  </si>
  <si>
    <t>Revitalisasi Kajian Kurikulum SMK di lima Wilayah Adat</t>
  </si>
  <si>
    <t>Penyelenggaraan Akreditasi Lembaga Kursus Keterampilan</t>
  </si>
  <si>
    <t>Penyusunan Road Map SMK</t>
  </si>
  <si>
    <t>Dinas Kesehatan</t>
  </si>
  <si>
    <t>Program peningkatan sarana dan prasarana aparatur</t>
  </si>
  <si>
    <t>Pembangunan gedung kantor</t>
  </si>
  <si>
    <t>Program peningkatan kapasitas sumber daya aparatur</t>
  </si>
  <si>
    <t>Pendidikan dan pelatihan formal</t>
  </si>
  <si>
    <t>Pendidikan dan Pelatihan Non Formal</t>
  </si>
  <si>
    <t>Program Obat dan Perbekalan Kesehatan</t>
  </si>
  <si>
    <t>Peningkatan mutu pelayanan farmasi komunitas dan rumah sakit</t>
  </si>
  <si>
    <t>Monitoring pemanfaatan buffer stock di GFK/RS/PKM dan pos obat kampung serta evaluasi hasil magang tenaga GF kab/kota</t>
  </si>
  <si>
    <t>Pengadaan obat buffer stock provinsi</t>
  </si>
  <si>
    <t>Pengadaan obat-obatan untuk program HIV/AIDS</t>
  </si>
  <si>
    <t>Pengadaan Obat-obatan Program P2M</t>
  </si>
  <si>
    <t>Pengadaan logistik Non Oat Provinsi Papua</t>
  </si>
  <si>
    <t>Pengadaan reagen IMS Provinsi Papua</t>
  </si>
  <si>
    <t>Pengelolaan Perbekalan Farmasi/Gudang Obat Buffer Stock Provinsi</t>
  </si>
  <si>
    <t>Pembekalan Penanggung Jawab Sarana Distribusi Obat (PBF) Tingkat Provinsi</t>
  </si>
  <si>
    <t>Program Upaya Kesehatan Masyarakat</t>
  </si>
  <si>
    <t>Pembinaan Akreditasi Puskesmas</t>
  </si>
  <si>
    <t>Program Pengembangan Obat Asli Indonesia</t>
  </si>
  <si>
    <t>Workshop Obat Tradisional Berbasis Wilayah Adat</t>
  </si>
  <si>
    <t>Pertemuan data jaringan informasi dan dokumentasi SP3T</t>
  </si>
  <si>
    <t>RAPAT RUTIN SP3T</t>
  </si>
  <si>
    <t>ADMINISTRASI KEGIATAN SP3T</t>
  </si>
  <si>
    <t>BIMTEK YANKES TRADKOM INTEGRASI DI FKTP DAN FKTL</t>
  </si>
  <si>
    <t xml:space="preserve">VERIFIKASI DOKUMEN DAN PENILAIAN KE LAPANGAN PENILAIAN PEMANFAATAN TOGA
</t>
  </si>
  <si>
    <t>Program Promosi Kesehatan dan Pemberdayaan masyarakat</t>
  </si>
  <si>
    <t>Pengembangan media promosi dan informasi sadar hidup sehat</t>
  </si>
  <si>
    <t>Program Perbaikan Gizi Masyarakat</t>
  </si>
  <si>
    <t>Pertemuan pencatatan dan pelaporan program gizi</t>
  </si>
  <si>
    <t>Program Pengembangan Lingkungan Sehat</t>
  </si>
  <si>
    <t>Pengawasan Kualitas Air</t>
  </si>
  <si>
    <t>Pembinaan Kebugaran Jasmani</t>
  </si>
  <si>
    <t>Program Pencegahan dan Penanggulangan Penyakit Menular</t>
  </si>
  <si>
    <t>Pencegahan dan Pemberantasan Penyakit IMS-HIV/AIDS</t>
  </si>
  <si>
    <t>Pemberantasan penyakit DBD</t>
  </si>
  <si>
    <t>Pemberantasan penyakit Malaria</t>
  </si>
  <si>
    <t>Pemberantasan Penyakit Kusta</t>
  </si>
  <si>
    <t>Eradikasi Polio, reduksi Campak dan eliminasi Tetanus</t>
  </si>
  <si>
    <t>Penanggulangan penyakit Taeniasis</t>
  </si>
  <si>
    <t>Peningkatan pelayanan Imunisasi di Provinsi dan Kabupaten.</t>
  </si>
  <si>
    <t>Penangulangan penyakit TBC</t>
  </si>
  <si>
    <t xml:space="preserve">Penanggulangan Penyakit Tidak Menular </t>
  </si>
  <si>
    <t>Peningkatan Pengendalian dan Pencegahan ISPA di Wilayah Regional</t>
  </si>
  <si>
    <t xml:space="preserve">Penanggulangan Penyakit Hepatitis </t>
  </si>
  <si>
    <t>Program Kemitraan peningkatan pelayanan kesehatan</t>
  </si>
  <si>
    <t>Pengelolaan mitra pembangunan kesehatan</t>
  </si>
  <si>
    <t>Program peningkatan pelayanan kesehatan anak balita</t>
  </si>
  <si>
    <t>Peningkatan Kemampuan Bidan di Desa untuk pencegahan penularan HIV/AIDS dari ibu ke Janin</t>
  </si>
  <si>
    <t>Program kebijakan dan manajemen pembangunan kesehatan</t>
  </si>
  <si>
    <t>Monitoring dan Supervisi perencanaan serta singkronisasi Program</t>
  </si>
  <si>
    <t>Pendampingan perencanaan pada daerah Bermasalah Kesehatan</t>
  </si>
  <si>
    <t>Penyusunan renstra Dinas Kesehatan Provinsi Papua &amp; Kabupaten/Kota</t>
  </si>
  <si>
    <t>Program Sumber Daya Kesehatan</t>
  </si>
  <si>
    <t>Koordinasi Teknis Program SDK dengan Kab/Kota</t>
  </si>
  <si>
    <t>Pembinaan Organisasi Profesi Bidang Kesehatan</t>
  </si>
  <si>
    <t>Peningkatan kapasitas widyaswara</t>
  </si>
  <si>
    <t>Pelaksanaan Akreditasi Balai pelatihan tenaga kesehatan sebagai pusat pelatihan lokal terbaik di Papua</t>
  </si>
  <si>
    <t>Satuan tugas pelayanan kesehatan kaki telanjang/jalan kaki, pelayanan terapung dan terbang ( Satgas kijang )</t>
  </si>
  <si>
    <t>Pembangunan gedung dan peralatan serta pemeliharaan bapelkes</t>
  </si>
  <si>
    <t>Sekolah Menengah Kejuruan Analis Kesehatan</t>
  </si>
  <si>
    <t>Sosialisasi  Sasaran Kinerja Pegawai (SKP)</t>
  </si>
  <si>
    <t xml:space="preserve">Diklat jabatan fungsional bagi tenaga kesehatan </t>
  </si>
  <si>
    <t>penarkan dokter PTT - gigi</t>
  </si>
  <si>
    <t>Program Peningkatan Pelayanan Laboratorium</t>
  </si>
  <si>
    <t>Pengadaan bahan pemeriksaan Laboratorium</t>
  </si>
  <si>
    <t>Bimbingan Tehnik ke Kabupaten/Kota</t>
  </si>
  <si>
    <t xml:space="preserve">Penjaminan mutu laboratorium </t>
  </si>
  <si>
    <t>Program Pengembangan Data/Informasi</t>
  </si>
  <si>
    <t>Pengelolaan data/informasi kesehatan</t>
  </si>
  <si>
    <t>Penyusunan Profil Kesehatan Provinsi</t>
  </si>
  <si>
    <t>Pembinaan penyusunan profil Kesehatan Kab/Kota</t>
  </si>
  <si>
    <t>Program Peningkatan Kesehatan Jiwa Masyarakat</t>
  </si>
  <si>
    <t>pelatihan deteksi dini dan penatalaksanaan gangguan jiwa bagi tenaga kesehatan di Kabupaten dan PKM</t>
  </si>
  <si>
    <t>Upaya Kesehatan Perorangan</t>
  </si>
  <si>
    <t>Bimbingan Teknis Akreditasi Rumah Sakit</t>
  </si>
  <si>
    <t>Dukungan tenaga Kesehatan dan Fasilitas Kesehatan dalam pelaksanaan PON di Papua tahun 2020</t>
  </si>
  <si>
    <t>Rumah Sakit Umum Daerah Jayapura</t>
  </si>
  <si>
    <t>Program Pelayanan Administrasi Perkantoran</t>
  </si>
  <si>
    <t>Penyediaan jasa komunikasi, sumber daya air dan listrik</t>
  </si>
  <si>
    <t>Penyediaan jasa kebersihan kantor</t>
  </si>
  <si>
    <t>Peningkatan Pelayanan Medis Umum dan Masyarakat</t>
  </si>
  <si>
    <t>Program Standarisasi Pelayanan Kesehatan</t>
  </si>
  <si>
    <t>Pelatihan dan Kursus Singkat Tenaga RS</t>
  </si>
  <si>
    <t>Program pengadaan, peningkatan sarana dan prasarana rumah sakit/rumah sakit jiwa/rumah sakit paru-paru/rumah sakit mata</t>
  </si>
  <si>
    <t>Pengadaan alat-alat kesehatan rumah sakit</t>
  </si>
  <si>
    <t>Pengadaan obat-obatan rumah sakit</t>
  </si>
  <si>
    <t>Pengadaan bahan-bahan logistik rumah sakit</t>
  </si>
  <si>
    <t>Pengadaan pencetakan administrasi dan surat menyurat rumah sakit</t>
  </si>
  <si>
    <t>Pengadaan Bahan Makanan untuk Penderita</t>
  </si>
  <si>
    <t>Pengadaan Bahan Habis Pakai Rumah Sakit</t>
  </si>
  <si>
    <t>Program pemeliharaan sarana dan prasarana rumah sakit/rumah sakit jiwa/rumah sakit paru-paru/rumah sakit mata</t>
  </si>
  <si>
    <t>Pemeliharaan rutin/berkala perlengkapan rumah sakit</t>
  </si>
  <si>
    <t>Peningkatan Jenjang Pendidikan Tenaga RSU Jayapura</t>
  </si>
  <si>
    <t>Rumah Sakit Umum Daerah Abepura</t>
  </si>
  <si>
    <t>Evaluasi dan pengembangan standar pelayanan kesehatan</t>
  </si>
  <si>
    <t>Pembangunan rumah sakit</t>
  </si>
  <si>
    <t>Pengadaan perlengkapan rumah tangga rumah sakit (dapur, ruang pasien, laundry, ruang tunggu dan lain-lain)</t>
  </si>
  <si>
    <t>Pemeliharaan rutin/berkala ruang rawat inap rumah sakit (VVIP, VIP, Kelas I,II,III)</t>
  </si>
  <si>
    <t>Rumah Sakit Jiwa</t>
  </si>
  <si>
    <t>Program Pelayanan Kesehatan Penduduk Miskin</t>
  </si>
  <si>
    <t>Pemulangan dan Pemakaman Pasien Miskin</t>
  </si>
  <si>
    <t>Rehabilitasi bangunan rumah sakit</t>
  </si>
  <si>
    <t>Pemeliharaan rutin/berkala alat-alat kesehatan rumah sakit</t>
  </si>
  <si>
    <t>Pelayanan Kesehatan Jiwa di Kabupaten/Kota</t>
  </si>
  <si>
    <t>Pelayanan Rujukan, Home Visite dan Antar Jemput Pasien</t>
  </si>
  <si>
    <t>Pelayanan Pemeriksaan/Deteksi Dini Gangguan Jiwa</t>
  </si>
  <si>
    <t>Pelatihan Kesehatan Jiwa Bagi Petugas Kesehatan</t>
  </si>
  <si>
    <t>Pengadaan Obat dan Perbekalan Pelayanan Kesehatan Jiwa</t>
  </si>
  <si>
    <t>Dinas Sosial, Kependudukan dan Catatan Sipil</t>
  </si>
  <si>
    <t>Program Pemberdayaan Fakir Miskin, Komunitas Adat Terpencil (KAT) dan Penyandang Masalah Kesejahteraan Sosial (PMKS) Lainnya</t>
  </si>
  <si>
    <t>Peningkatan Kemampuan (Capacity Building) petugas dan pendamping sosial pemberdayaan Fakir Miskin, KAT dan Penyandang Masalah Kesejahteraan Sosial (PMKS) Lainnya</t>
  </si>
  <si>
    <t>Pengadaan sarana dan prasarana pendukung usaha bagi keluarga miskin</t>
  </si>
  <si>
    <t>Penanggulangan Kemiskinan</t>
  </si>
  <si>
    <t>Program Pelayanan dan Rehabilitasi Kesejahteraan Sosial</t>
  </si>
  <si>
    <t>Pelayanan dan rehabilitasi sosial Lanjut Usia</t>
  </si>
  <si>
    <t>Pelayanan dan rehabilitasi sosial anak</t>
  </si>
  <si>
    <t>Perlindungan dan Jaminan Sosial</t>
  </si>
  <si>
    <t>Pelatihan dan Pengarahan Taruna Siaga Bencana (TAGANA)</t>
  </si>
  <si>
    <t>Perlindungan Sosial Korban Bencana Alam</t>
  </si>
  <si>
    <t>Pelayanan Kesejahteraan Sosial Berbasis Panti</t>
  </si>
  <si>
    <t>Pelayanan dan Rehabilitasi sosial bagi anak dan remaja</t>
  </si>
  <si>
    <t>Pelayanan dan Rehabilitasi sosial bagi Lanjut Usia terlantar</t>
  </si>
  <si>
    <t>Pelayanan dan Rehabilitasi sosial bagi Wanita Rawan Sosial Ekonomi (WRSE)</t>
  </si>
  <si>
    <t>Pelayanan dan Rehabilitasi sosial bagi Cacat Netra</t>
  </si>
  <si>
    <t>Dinas Tenaga Kerja</t>
  </si>
  <si>
    <t>Program Peningkatan Kualitas dan Produktivitas Tenaga Kerja</t>
  </si>
  <si>
    <t>Pendidikan dan pelatihan keterampilan bagi pencari kerja</t>
  </si>
  <si>
    <t>Sosialisasi Standarisasi dan Setifikasi Kompetensi Kerja</t>
  </si>
  <si>
    <t>Quality Managenent System (QMS) BLTKI</t>
  </si>
  <si>
    <t>Pembinaan dan Pengukuran Produktivitas</t>
  </si>
  <si>
    <t>Bimtek Metodologi Instruktur</t>
  </si>
  <si>
    <t>Monitoring Pengupahan</t>
  </si>
  <si>
    <t>Pemasaran hasil Lulusan BLKI Provinsi Papua</t>
  </si>
  <si>
    <t>Program Peningkatan Kesempatan Kerja</t>
  </si>
  <si>
    <t>Penyebarluasan informasi bursa tenaga kerja</t>
  </si>
  <si>
    <t>Perluasan Kerja Melalui Sistim TTG</t>
  </si>
  <si>
    <t>Program Pengawasan Ketenagakerjaan</t>
  </si>
  <si>
    <t>Pelatihan ahli K3 dari perusahaan</t>
  </si>
  <si>
    <t>Pembinaan Penyelesaian Perselisihan di perselisihan</t>
  </si>
  <si>
    <t>Sosialisasi syarat-syarat dan norma kerja di perusahaan</t>
  </si>
  <si>
    <t>Program Pengembangan Produktivitas Kerja</t>
  </si>
  <si>
    <t>Pengukuran Produktivitas dan Daya Saing di 10 Kabupaten/Kota</t>
  </si>
  <si>
    <t>Program Pengembangan Wilayah Transmigrasi</t>
  </si>
  <si>
    <t>Peningkatan kerjasama antar wilayah, antar pelaku dan antar sektor dalam rangka pengembangan kawasan transmigrasi</t>
  </si>
  <si>
    <t>Program Transmigrasi Lokal</t>
  </si>
  <si>
    <t>Penyuluhan Transmigrasi Lokal</t>
  </si>
  <si>
    <t>Pelatihan transmigrasi lokal</t>
  </si>
  <si>
    <t>Penyelesaian Izin Prinsip Pelepasan Kawasan Hutan (IPPKH)</t>
  </si>
  <si>
    <t>Dinas Pemberdayaan Perempuan, Perlindungan Anak dan Keluarga Berencana</t>
  </si>
  <si>
    <t>Program Penguatan Kelembagaan Pengarusutamaan Gender dan Anak</t>
  </si>
  <si>
    <t>Workshop  PUG  bagi  SKPD, Legislatif dan Yudikatif</t>
  </si>
  <si>
    <t>Fasilitasi FORDA Provinsi Papua</t>
  </si>
  <si>
    <t>Rapat Pokja PUG</t>
  </si>
  <si>
    <t>Pelatihan PPRG bagi OPD</t>
  </si>
  <si>
    <t>Sosialisasi dan advokasi pembentukan kab/kota layak anak  (KLA)</t>
  </si>
  <si>
    <t>Program Peningkatan Kualitas Hidup Perempuan dan Perlindungan Perempuan dan Anak</t>
  </si>
  <si>
    <t>Fasilitasi upaya perlindungan perempuan dan Anak terhadap tindak kekerasan</t>
  </si>
  <si>
    <t>Fasilitasi Penguatan Kapasitas Kader Posyandu dan PKK</t>
  </si>
  <si>
    <t>Monitoring dan evaluasi kampung KB</t>
  </si>
  <si>
    <t>Studi Banding Pengelolaan KB</t>
  </si>
  <si>
    <t>Pelatihan dan Advokasi Keluarga Berencana di 29 Kabupaten/Kota</t>
  </si>
  <si>
    <t>Peningkatan Peran serta dan Kesetaraan Gender dalam pembangunan</t>
  </si>
  <si>
    <t>Pelatihan penguatan  kapasitas perempuan papua</t>
  </si>
  <si>
    <t>Penguatan kapasitas SDM Wirausaha perempuan</t>
  </si>
  <si>
    <t>Pemberdayaan Keluarga Sejahtera</t>
  </si>
  <si>
    <t>Pameran kerajinan perempuan penyintas</t>
  </si>
  <si>
    <t>Dinas Ketahanan Pangan</t>
  </si>
  <si>
    <t xml:space="preserve">Program peningkatan pengembangan sistem pelaporan capaian kinerja dan keuangan </t>
  </si>
  <si>
    <t>Forum SKPD Provinsi Papua</t>
  </si>
  <si>
    <t>Program Peningkatan Ketahanan Pangan (pertanian/perkebunan)</t>
  </si>
  <si>
    <t>Penanganan daerah rawan pangan</t>
  </si>
  <si>
    <t>Pengembangan cadangan pangan daerah</t>
  </si>
  <si>
    <t>Monitoring, evaluasi, dan pelaporan</t>
  </si>
  <si>
    <t>Pemanfaatan Pekarangan untuk Pengembangan Pangan</t>
  </si>
  <si>
    <t>Analisis Ketersediaan Pangan</t>
  </si>
  <si>
    <t>Pengawasan dan Pembinaan Keamanan Pangan Segar</t>
  </si>
  <si>
    <t>Pemantauan Harga dan Distribusi Pangan</t>
  </si>
  <si>
    <t>Lomba Cipta Menu pangan Lokal</t>
  </si>
  <si>
    <t>Kelembagaan Keamanan Pangan Segar</t>
  </si>
  <si>
    <t>Dinas Pemberdayaan Masyarakat dan Kampung</t>
  </si>
  <si>
    <t>Program Pengembangan data/informasi</t>
  </si>
  <si>
    <t>Sosialisasi Mekanisme dan Tahapan Pembentukan Kampung Adat di 5 Wilayah Adat</t>
  </si>
  <si>
    <t>Pengolahan, Penginputan dan Publikasi Data DPMK</t>
  </si>
  <si>
    <t>Sosialisasi Metode dan Teknik Pemetaan Hak Ulayat di 5 Wilayah Adat Provinsi Papua</t>
  </si>
  <si>
    <t>Ujicoba Hasil Pengkajian TTG sesuai Sumber Daya di Wilayah Adat</t>
  </si>
  <si>
    <t>Program Pemberdayaan Masyarakat Kampung</t>
  </si>
  <si>
    <t>Alih Teknologi melalui gelar TTG Nasional</t>
  </si>
  <si>
    <t>Fasilitasi Pengembangan Teknologi Tepat Guna</t>
  </si>
  <si>
    <t>Monitoring Program/Kegiatan Ke.PMD-an</t>
  </si>
  <si>
    <t>Program Penguatan Kapasitas Kelembagaan Distrik dan Kampung</t>
  </si>
  <si>
    <t>Lomba kampung/kelurahan di 29 Kabupaten/Kota</t>
  </si>
  <si>
    <t>Pembinaan dan Fasilitasi Lembaga Masyarakat</t>
  </si>
  <si>
    <t>Monitoring dan Evaluasi Prospek</t>
  </si>
  <si>
    <t>Program Peningkatan Kualitas Hidup dan Perlindungan Perempuan</t>
  </si>
  <si>
    <t>Penyelenggaraan Bulan Bakti Gotong Royong Masyarakat (BBGRM) tingkat Provinsi dan Nasional</t>
  </si>
  <si>
    <t>Program Peningkatan Peran Serta dan Kesetaraan Gender dalam Pembangunan</t>
  </si>
  <si>
    <t>Rapat Konsultasi Tim Penggerak PKK Tingkat Provinsi dan Nasional</t>
  </si>
  <si>
    <t>Kunjungan Ketua Tim Penggerak PKK Provinsi Papua</t>
  </si>
  <si>
    <t>Dinas Komunikasi dan Informatika</t>
  </si>
  <si>
    <t>Program pengembangan komunikasi, informasi dan media massa</t>
  </si>
  <si>
    <t>Kerjasama Media Penyiaran Publik</t>
  </si>
  <si>
    <t>Fasilitasi Media Penyiaran Publik</t>
  </si>
  <si>
    <t>Pengelolaan dan Pemutahiran Data Website Provinsi</t>
  </si>
  <si>
    <t>Rencana Aksi Pemberantasan Korupsi Melalui E Goverment Terintegrasi</t>
  </si>
  <si>
    <t>Program fasilitasi peningkatan SDM bidang komunikasi dan informasi</t>
  </si>
  <si>
    <t>Pelatihan SDM Bidang Informasi dan Komunikasi Bagi Aparatur dan Masyarakat</t>
  </si>
  <si>
    <t>Program kerjasama informasi dengan mas media</t>
  </si>
  <si>
    <t>Pelatihan bagi kelompok informasi masyarakat</t>
  </si>
  <si>
    <t>Pelayanan informasi dan komunikasi melalui media tradisional</t>
  </si>
  <si>
    <t>Forum Media Publik</t>
  </si>
  <si>
    <t>Layanan Sarana Prasarana Pameran Pemerintah</t>
  </si>
  <si>
    <t>Program Pengembangan data/informasi/statistik daerah</t>
  </si>
  <si>
    <t>Pembinaan Pengelolaan Statistik</t>
  </si>
  <si>
    <t>Dinas Koperasi, Usaha Kecil dan Menengah</t>
  </si>
  <si>
    <t>Program Pengembangan Kewirausahaan dan Keunggulan Kompetitif Usaha Kecil Menengah</t>
  </si>
  <si>
    <t>Memfasilitasi peningkatan kemitraan usaha bagi Usaha Mikro Kecil Menengah</t>
  </si>
  <si>
    <t>Penumbuhan dan Pengembangan kewirausahaan</t>
  </si>
  <si>
    <t>Program Pengembangan Sistem Pendukung Usaha Bagi Usaha Mikro Kecil Menengah</t>
  </si>
  <si>
    <t>Pengembangan Kebijakan dan program peningkatan ekonomi lokal</t>
  </si>
  <si>
    <t>Partisipasi pameran gelar produk KUMKM</t>
  </si>
  <si>
    <t>Program Peningkatan Kualitas Kelembagaan Koperasi</t>
  </si>
  <si>
    <t xml:space="preserve">Sosialisasi prinsip-prinsip pemahaman perkoperasian </t>
  </si>
  <si>
    <t>Pembinaan, pengawasan dan penghargaan koperasi berprestasi</t>
  </si>
  <si>
    <t>Peningkatan dan pengembangan jaringan kerjasama usaha koperasi</t>
  </si>
  <si>
    <t>Identifikasi Keragaman Koperasi</t>
  </si>
  <si>
    <t>Monitoring Pengawasan Koperasi Pelaksanaan RAT</t>
  </si>
  <si>
    <t>Pembinaan, pemantauan, pengendalian, pengawasan, dan penilaian kesehatan KSP/USP Koperasi</t>
  </si>
  <si>
    <t>Sosialisasi penyaluran kredit pembiayaan melalui LPDB KUMKM</t>
  </si>
  <si>
    <t>Orientasi Layanan Pembentukan Badan Layanan Umum Daerah Dana Bergulir (BLUD-DB)</t>
  </si>
  <si>
    <t>Sosialisasi dan Penyaluran Rencana Tindak KUR, PKBL dan Dana dari Lembaga Keuangan</t>
  </si>
  <si>
    <t>Dinas Penanaman Modal Pelayanan Terpadu Satu Pintu</t>
  </si>
  <si>
    <t>Program Peningkatan Promosi dan Kerjasama Investasi</t>
  </si>
  <si>
    <t>Pengembangan potensi unggulan daerah</t>
  </si>
  <si>
    <t>Mengikuti Pameran Promosi Dalam Dan Luar Negeri</t>
  </si>
  <si>
    <t>Program Peningkatan Pelayanan Perizinan Penanaman Modal</t>
  </si>
  <si>
    <t>Peningkatan Penyelenggaraan Pelayanan Perizinan dan Non Perizinan Bidang Penanaman Modal Melalui PTSP</t>
  </si>
  <si>
    <t xml:space="preserve">Fasilitasi Penyelesaian Permasalahan Perijinan dan Non Peijinan di Bidang Penanaman Modal </t>
  </si>
  <si>
    <t>Penyediaan Informasi Perijinan</t>
  </si>
  <si>
    <t>Program Peningkatan, Pengawasan, Pengendalian Penanaman Modal</t>
  </si>
  <si>
    <t>Pemantauan Perkembangan Realisasi Perusahaan Penanaman Modal</t>
  </si>
  <si>
    <t>Bimbingan Pelaksanaan Kegiatan Penanaman Modal Kepada Masyarakat Dunia Usaha</t>
  </si>
  <si>
    <t>Temu Usaha dan Dialog Investasi</t>
  </si>
  <si>
    <t>Dinas Olah Raga dan Pemuda</t>
  </si>
  <si>
    <t>Program Pembinaan dan Pemasyarakatan Olahraga</t>
  </si>
  <si>
    <t>Pembibitan dan pembinaan olahragawan berbakat</t>
  </si>
  <si>
    <t>Dinas Kebudayaan</t>
  </si>
  <si>
    <t>Program Pengembangan Nilai Budaya</t>
  </si>
  <si>
    <t>Pameran keliling museum</t>
  </si>
  <si>
    <t>Pameran alat musik dan kain tenun tingkat nasional</t>
  </si>
  <si>
    <t>Pengembangan Aplikasi Data Khusus Kebudayaan</t>
  </si>
  <si>
    <t>Program Pengelolaan Kekayaan Budaya</t>
  </si>
  <si>
    <t>Fasilitasi partisipasi masyarakat dalam pengelolaan kekayaan budaya</t>
  </si>
  <si>
    <t>Pengelolaan dan pengembangan pelestarian peninggalan sejarah purbakala, museum dan peninggalan bawah air</t>
  </si>
  <si>
    <t>Inventarisasi Aset Kesenian, Monitoring dan Pemeliharaan Cagar Budaya, Pemilihan Direktori Lembaga Budaya di 5 Wilayah Adat</t>
  </si>
  <si>
    <t>Penataan Koleksi Karya Seni Rumah Taman Budaya Papua</t>
  </si>
  <si>
    <t>Program Pengelolaan Keragaman Budaya</t>
  </si>
  <si>
    <t>Pesta Budaya Papua</t>
  </si>
  <si>
    <t>Lomba Seni Anak, Remaja dan Lomba Cerita Rakyat Tingkat Anak dan Remaja di 5 Wilayah Adat</t>
  </si>
  <si>
    <t>Temu Karya Seni Daerah, Pergelaran dan Pameran Seni Kreasi Baru Daerah Papua (Taman Budaya)</t>
  </si>
  <si>
    <t>Peningkatan Kompetensi Pengelolah Cagar Budaya Papua</t>
  </si>
  <si>
    <t>Temu Taman Budaya Tingkat Nasional</t>
  </si>
  <si>
    <t>Program pengembangan kerjasama pengelolaan kekayaan budaya</t>
  </si>
  <si>
    <t>Gita Bahana Nusantara di 5 Wilayah Adat</t>
  </si>
  <si>
    <t>Pelatihan Tata Panggung di UPTD Taman Budaya</t>
  </si>
  <si>
    <t>Pelatihan Kesenian di Kampung</t>
  </si>
  <si>
    <t>Dinas Kelautan dan Perikanan</t>
  </si>
  <si>
    <t>Program pemberdayaan masyarakat dalam pengawasan dan pengendalian sumberdaya kelautan</t>
  </si>
  <si>
    <t>Pengawasan dan Pemantauan Kawasan Konservasi</t>
  </si>
  <si>
    <t>Program pengembangan budidaya perikanan</t>
  </si>
  <si>
    <t>Pengembangan bibit ikan unggul</t>
  </si>
  <si>
    <t>Pencetakan Kolam Dengan Alat Berat Becho</t>
  </si>
  <si>
    <t>Program Peningkatan Mutu Produksi Nelayan, Pengelolaan dan Pemasaran</t>
  </si>
  <si>
    <t>Pelaksanaan Peringatan Hari Nusantara dan HARKANAS,</t>
  </si>
  <si>
    <t>Program Optimalisasi Fungsi dan Pelayanan Unit Pelaksanaan Teknis Dinas (UPTD)</t>
  </si>
  <si>
    <t>Penunjang Kegiatan Balai Benih Ikan Sentra Berap-  Kab. Jayapura</t>
  </si>
  <si>
    <t>Program Pemberdayaan Masyarakat Pesisir dan Pulau-pulau Kecil</t>
  </si>
  <si>
    <t>Peningkatan Perananan Konsorsium Mitra Bahari dalam Penanganan Masalah Pesisir</t>
  </si>
  <si>
    <t>Dukungan Terhadap Coremap</t>
  </si>
  <si>
    <t>Percepatan Penyusunan Rencana Zonasi Wilayah Pesisir dan Pulau-pulau Kecil *</t>
  </si>
  <si>
    <t>Dinas Pariwisata</t>
  </si>
  <si>
    <t>Program Pengembangan Pemasaran Pariwisata</t>
  </si>
  <si>
    <t>Survey dan Penyusunan Data Potensi Wisata Pada 5 Wilayah Adat Unggulan</t>
  </si>
  <si>
    <t>Pemilihan Putera Puteri Pariwisata Papua</t>
  </si>
  <si>
    <t>Dukungan dan Penguatan Pada Festival Wisata Daerah</t>
  </si>
  <si>
    <t>Workshop Pengembangan Produk dan pemasaran</t>
  </si>
  <si>
    <t>Pemilihan Duta Wisata Indonesia</t>
  </si>
  <si>
    <t>Program Pengembangan Destinasi Pariwisata</t>
  </si>
  <si>
    <t>Penyuluhan dan penguatan kelompok sadar wisata</t>
  </si>
  <si>
    <t>Survey pembangunan dan penataan manajemen hotel pemda</t>
  </si>
  <si>
    <t xml:space="preserve">Penataan dan pengembangan Kawasan Wisata Pantai Amai, Tablanusu dan Tanjung Bio Kendate </t>
  </si>
  <si>
    <t>pengembangan objek pariwisata unggulan</t>
  </si>
  <si>
    <t>Program Pengembangan Kemitraan</t>
  </si>
  <si>
    <t>Pelatihan ekonomi kreatif</t>
  </si>
  <si>
    <t>Pelatihan desain batik</t>
  </si>
  <si>
    <t>Pelatihan Seni Kerajinan Tangan (anyam noken,gerabah,ukir)</t>
  </si>
  <si>
    <t>Pengadaan Ruang Kreatif</t>
  </si>
  <si>
    <t>Pelatihan Seni Kerajinan Ukiran</t>
  </si>
  <si>
    <t>program pengembangan kapasitas</t>
  </si>
  <si>
    <t>Road show kepariwisataan Papua</t>
  </si>
  <si>
    <t>workshop mitra usaha pariwisata</t>
  </si>
  <si>
    <t>Dinas Tanaman Pangan dan Hortikultura</t>
  </si>
  <si>
    <t>Pengendalian Organisme Pengganggu Tanaman Pangan dan Hortikultura</t>
  </si>
  <si>
    <t xml:space="preserve"> Pengembangan Laboratorium Pegamat  hama dan penyakit
 </t>
  </si>
  <si>
    <t xml:space="preserve"> Pengembangan Kawasan Lahan Pertanian   Pangan Pokok Berkelanjutan dan GRK 
</t>
  </si>
  <si>
    <t xml:space="preserve"> Pengembangan Pupuk dan Alsin Pertanian </t>
  </si>
  <si>
    <t>Peningkatan produksi dan produktivitas kawasan Tanaman pangan</t>
  </si>
  <si>
    <t>Pengembangan Balai Benih Palawija</t>
  </si>
  <si>
    <t>Pengembangan Balai Benih Hortikultura</t>
  </si>
  <si>
    <t>Pengembangan Kebun Bibit Hortikultura</t>
  </si>
  <si>
    <t>Pengembangan Produksi Benih Tanaman Pangan</t>
  </si>
  <si>
    <t>Pengembangan Produksi Benih Hortikultura</t>
  </si>
  <si>
    <t>Pengembangan Laboratorium Benih</t>
  </si>
  <si>
    <t>Pengembangan Balai Benih Padi</t>
  </si>
  <si>
    <t>Peningkatan Pengawasan dan Sertifikasi Benih Tanaman Pangan dan Hortikultura</t>
  </si>
  <si>
    <t>Program peningkatan pemasaran hasil produksi pertanian/perkebunan</t>
  </si>
  <si>
    <t>Pengembangan Bioindustri Pangan Lokal</t>
  </si>
  <si>
    <t>Pengembangan Agroindustri terpadu hortikultura</t>
  </si>
  <si>
    <t>Pengembangan Pemasaran Hasil pertanian</t>
  </si>
  <si>
    <t>Program peningkatan penerapan teknologi pertanian/perkebunan</t>
  </si>
  <si>
    <t>Penelitian dan pengembangan teknologi pertanian/perkebunan tepat guna</t>
  </si>
  <si>
    <t>Program pemberdayaan penyuluh pertanian/perkebunan lapangan</t>
  </si>
  <si>
    <t>Peningkatan kapasitas tenaga penyuluh pertanian/perkebunan</t>
  </si>
  <si>
    <t>Program Perencanaan Pembangunan</t>
  </si>
  <si>
    <t>Penyusunan Program dan Anggaran Rencana Kerja/Teknis/Program</t>
  </si>
  <si>
    <t>Sistem Pengedalian Intern Pemerintah</t>
  </si>
  <si>
    <t>Pengelolaan Statistik Tanaman Pangan dan Hortikultura</t>
  </si>
  <si>
    <t>Forum OPD dan Rapat Teknis</t>
  </si>
  <si>
    <t>Program Pengembangan Agribisnis</t>
  </si>
  <si>
    <t>Pengembangan Prasarana kawasan Agribisnis tanaman pangan dan hortikultura</t>
  </si>
  <si>
    <t>Peningkatan produksi dan produktivitas kawasan hortikultura</t>
  </si>
  <si>
    <t>Program Peningkatan Sumberdaya Pertanian</t>
  </si>
  <si>
    <t>Peningkatan SDM Aparatur dan Non Aparatur Balai Diklat Pertanian</t>
  </si>
  <si>
    <t>Peningkatan Balai Penyuluh Pertanian (BPP) Model</t>
  </si>
  <si>
    <t>Pengembangan Tanaman Spesifik Lokal</t>
  </si>
  <si>
    <t xml:space="preserve"> Pengembangan Buah Merah </t>
  </si>
  <si>
    <t>Dinas Perkebunan</t>
  </si>
  <si>
    <t>Program Peningkatan Kesejahteraan Petani</t>
  </si>
  <si>
    <t>Pelatihan Petani dan Pelaku Agrobisnis</t>
  </si>
  <si>
    <t>Penyuluhan dan pendampingan petani dan pelaku agrobisnis</t>
  </si>
  <si>
    <t>Promosi atas hasil produksi pertanian/perkebunan unggulan daerah</t>
  </si>
  <si>
    <t>Pengolahan informasi permintaan pasar atas hasil produksi pertanian/perkebunan masyarakat</t>
  </si>
  <si>
    <t>Penyuluhan kualitas dan teknis kemasan hasil produksi pertanian/perkebunan yang akan dipasarkan</t>
  </si>
  <si>
    <t>Pembangunan Sarana Pengolahan Hasil Perkebunan</t>
  </si>
  <si>
    <t>Investasi dan Perijinan Usaha Perkebunan</t>
  </si>
  <si>
    <t>Bimbingan Usaha Perkebunan</t>
  </si>
  <si>
    <t>Pengkajian uji lapang</t>
  </si>
  <si>
    <t>Program peningkatan produksi pertanian/perkebunan</t>
  </si>
  <si>
    <t>Penyediaan sarana produksi pertanian/perkebunan</t>
  </si>
  <si>
    <t>Pengembangan bibit unggul pertanian/perkebunan</t>
  </si>
  <si>
    <t>Sertifikasi bibit ungguk pertanian/perkebunan</t>
  </si>
  <si>
    <t>Intensifikasi Tanaman Perkebunan</t>
  </si>
  <si>
    <t>Perluasan Areal Komoditas Perkebunan</t>
  </si>
  <si>
    <t>Pembinaan Petani</t>
  </si>
  <si>
    <t>Pemeliharaan Kebun Benih Tanaman Perkebunan</t>
  </si>
  <si>
    <t>Pengendalian Hama dan Penyakit Tanaman Perkebunan</t>
  </si>
  <si>
    <t>Monitoring, evaluasi dan pelaporan</t>
  </si>
  <si>
    <t>Rapat Kerja Teknis</t>
  </si>
  <si>
    <t>Rapat Evaluasi</t>
  </si>
  <si>
    <t>Penyusunan Data Statistik Komoditas Perkebunan</t>
  </si>
  <si>
    <t>Dinas Peternakan dan Kesehatan Hewan</t>
  </si>
  <si>
    <t>Peningkatan kemampuan lembaga petani</t>
  </si>
  <si>
    <t>Sosialisasi Pembangunan Peternakan</t>
  </si>
  <si>
    <t>Program pencegahan dan penanggulangan penyakit ternak</t>
  </si>
  <si>
    <t>Pemeliharaan kesehatan dan pencegahan penyakit menular ternak</t>
  </si>
  <si>
    <t>Penelitiadan Identifikasi penyakit Hewann</t>
  </si>
  <si>
    <t>Peningkatan Sumberdaya Kelembagaan Kesehatan Hewan</t>
  </si>
  <si>
    <t>Pencegahan, pengendalian, Pemberantasan penyakit hewan menular dan gangguan penyakit reproduksi ternak</t>
  </si>
  <si>
    <t>Program peningkatan produksi hasil peternakan</t>
  </si>
  <si>
    <t>Pembangunan sarana dan prasarana pembibitan ternak</t>
  </si>
  <si>
    <t>Pembibitan dan perawatan ternak</t>
  </si>
  <si>
    <t>Penguatan Kelembagaan Inseminasi Buatan</t>
  </si>
  <si>
    <t>Pengembangan sarana dan prasarana produksi ternak</t>
  </si>
  <si>
    <t>Pengembagan ternak besar</t>
  </si>
  <si>
    <t>Pengembangan ternak kecil</t>
  </si>
  <si>
    <t>Program peningkatan pemasaran hasil produksi peternakan</t>
  </si>
  <si>
    <t>Promosi atas hasil produksi peternakan unggulan daerah. _</t>
  </si>
  <si>
    <t>Program Peningkatan kemananan pangan dan ketahanan pangan asal hewan</t>
  </si>
  <si>
    <t>Peningkatan mutu kemanan pangan asal hewan</t>
  </si>
  <si>
    <t>Penangan pasca panen produk pangan asal hewan (PPAH) dan bahan pangan asal hewan (BPAH)</t>
  </si>
  <si>
    <t>Pelayanan Pengujian bahan Pangan asal Hewan</t>
  </si>
  <si>
    <t>Dinas Kehutanan</t>
  </si>
  <si>
    <t>Program pemanfaatan potensi sumber daya hutan</t>
  </si>
  <si>
    <t>Pemetaan Partisipatif Masyarakat Adat Pemilik Hak Ulayat</t>
  </si>
  <si>
    <t>Peningkatan Tertib Produksi dan Peredaraan Hasil Hutan</t>
  </si>
  <si>
    <t>Pengembangan Usaha Pemanfaatan Kayu Masyarakat Hukum Adat</t>
  </si>
  <si>
    <t>Pengembangan Industri Kayu Masyarakat Hukum Adat</t>
  </si>
  <si>
    <t>Program rehabilitasi hutan dan lahan</t>
  </si>
  <si>
    <t>Pengembangan perbenihan tanaman hutan</t>
  </si>
  <si>
    <t>Pengelolaan Balai Perbenihan Tanaman Hutan</t>
  </si>
  <si>
    <t>Pengembangan Aneka Usaha Kehutanan</t>
  </si>
  <si>
    <t>Perlindungan dan konservasi sumber daya hutan</t>
  </si>
  <si>
    <t>Pengelolaan Taman Burung dan Taman Anggrek (TBTA) Biak</t>
  </si>
  <si>
    <t>Program pembinaan dan penertiban industri hasil hutan</t>
  </si>
  <si>
    <t>Program perencanaan dan pengembangan hutan</t>
  </si>
  <si>
    <t>Pembangunan Kesatuan Pengelolaan Hutan</t>
  </si>
  <si>
    <t>Pengawasan dan Pengendalian Penggunaan Kawasan Hutan</t>
  </si>
  <si>
    <t>Pengembangan Data dan Informasi Kehutanan</t>
  </si>
  <si>
    <t>Program Peningkatan Kualitas dan Akses  informasi</t>
  </si>
  <si>
    <t>Penyusunan PEP RAD-GRK dan Inventarisasi Emisi GRK Sektor Lahan</t>
  </si>
  <si>
    <t>Dinas Perindustrian dan Perdagangan</t>
  </si>
  <si>
    <t>Program Perlindungan Konsumen dan pengamanan perdagangan</t>
  </si>
  <si>
    <t>Kegiatan sosialisasi undang-undang perlindungan konsumen dan perdasi no. 15 tahun 2013</t>
  </si>
  <si>
    <t>Program Peningkatan dan Pengembangan Ekspor</t>
  </si>
  <si>
    <t>Penyusunan Kajian Prosedur dan dokumen ekspor dan</t>
  </si>
  <si>
    <t>Koordinasi program pengembangan ekspor dengan instansi terkait</t>
  </si>
  <si>
    <t>Dukungan marketing poin didaerah perbatasan RI/PNG</t>
  </si>
  <si>
    <t>Pameran dalam dan luar negeri dalam rangka promosi komoditi ekspor daerah</t>
  </si>
  <si>
    <t>Program Peningkatan Efisiensi Perdagangan Dalam Negri</t>
  </si>
  <si>
    <t>Sosialisasi peningkatan penggunaan produk dalam negri</t>
  </si>
  <si>
    <t>Pemberian bantuan sarana usaha perdagangan bagi orang asli papua di daerah pesisir dan pulau terluar</t>
  </si>
  <si>
    <t>Pengendalian bongkar muat barang di pelabuhan dan bandar udara</t>
  </si>
  <si>
    <t>Pengembangan industri kecil dan menengah</t>
  </si>
  <si>
    <t>penyusunan kebijakan industri terkait dan penunjang industri kecil dan menengah</t>
  </si>
  <si>
    <t>fasilitasi kerjasama kemitraan industri mikro kecil dengan swasta</t>
  </si>
  <si>
    <t>Penataan Struktur Industri</t>
  </si>
  <si>
    <t>Bimtek/Magang Operator dan Tenaga Pendukung Pabrik Betatas</t>
  </si>
  <si>
    <t>Biro Kesejahteraan Rakyat dan Kemasyarakatan</t>
  </si>
  <si>
    <t>Program Pemberdayaan Keagamaan</t>
  </si>
  <si>
    <t xml:space="preserve"> Fasilitasi, Pembangunan dan Pembinaan Bidang Pendidikan, Kesehatan dan Ekonomi Umat Katolik Secara Terintregasi pada Keuskupan di Provinsi Papua</t>
  </si>
  <si>
    <t xml:space="preserve"> Fasilitasi, Pembangunan dan Pembinaan Bidang Pendidikan, Kesehatan dan Ekonomi Umat Babtis secara Terintregasi pada Gereja Babtis di Provinsi Papua</t>
  </si>
  <si>
    <t xml:space="preserve"> Fasilitasi, Pebangunan dan Pembinaan Bidang Pendidikan, Kesehatan dan Ekonomi Umat GPDI secara Terintregasi di Sinode GPDI di Indonesia Provinsi Papua</t>
  </si>
  <si>
    <t>Fasilitasi Pembangunan dan Pembinaan Bidang Pendidikan, Kesehatan dan Ekonomi Umat Kingmi secara terintergrasi di Sinode Kingmi di Provinsi Papua</t>
  </si>
  <si>
    <t>Fasilitasi, Pembangunan dan Pembinaan Bidang Pendidikan, Kesehatan dan Ekonomi Umat GIDI secara terintegrasi di Sinode GIDI di Indonesia</t>
  </si>
  <si>
    <t>Fasilitasi, Pembangunan dan Pembinaan Bidang Pendidikan, Kesehatan dan Ekonomi Umat GKI secara Terintegrasi di Sinode GKI di Tanah Papua</t>
  </si>
  <si>
    <t>Fasilitasi, Pembangunan dan Pembinaan Bidang Pendidikan, Kesehatan dan Ekonomi Umat ADVENT Secara Terintegrasi di Sinode Gereja ADVENT di Indonesia</t>
  </si>
  <si>
    <t>Monitoring dan Evaluasi Program Pemberdayaan Keagamaan Papua</t>
  </si>
  <si>
    <t>Sekretariat Dewan Perwakilan Rakyat Papua</t>
  </si>
  <si>
    <t>Program Peningkatan Kapasitas Lembaga Perwakilan Rakyat Daerah</t>
  </si>
  <si>
    <t>Publik Hearing Rancangan Peraturan Perundang-Undangan</t>
  </si>
  <si>
    <t>Majelis Rakyat Papua</t>
  </si>
  <si>
    <t>BELANJA TIDAK LANGSUNG</t>
  </si>
  <si>
    <t>Gaji dan Tunjangan</t>
  </si>
  <si>
    <t>Sekretariat Majelis Rakyat Papua</t>
  </si>
  <si>
    <t>Penyediaan alat tulis kantor</t>
  </si>
  <si>
    <t>Penyediaan komponen instalasi listrik/penerangan bangunan kantor</t>
  </si>
  <si>
    <t>Penyediaan bahan bacaan dan peraturan perundang-undangan</t>
  </si>
  <si>
    <t>Penyediaan makanan dan minuman</t>
  </si>
  <si>
    <t xml:space="preserve">Penyediaan Jasa Pengamanan </t>
  </si>
  <si>
    <t>Pengadaan peralatan gedung kantor</t>
  </si>
  <si>
    <t>Pemeliharaan rutin/berkala rumah jabatan</t>
  </si>
  <si>
    <t>Pemeliharaan rutin/berkala gedung kantor</t>
  </si>
  <si>
    <t>Pemeliharaan rutin/berkala kendaraan dinas/operasional</t>
  </si>
  <si>
    <t>Pemeliharaan rutin/berkala peralatan gedung kantor</t>
  </si>
  <si>
    <t>Program peningkatan disiplin aparatur</t>
  </si>
  <si>
    <t>Pengadaan pakaian dinas beserta perlengkapannya</t>
  </si>
  <si>
    <t>Pengadaan pakaian khusus hari-hari tertentu</t>
  </si>
  <si>
    <t>Program Peningkatan Kapasitas Lembaga MRP</t>
  </si>
  <si>
    <t>Pembahasan Rancangan Peraturan Daerah</t>
  </si>
  <si>
    <t>Rapat-Rapat Alat Kelengkapan MRP</t>
  </si>
  <si>
    <t>Rapat-Rapat Pleno</t>
  </si>
  <si>
    <t>Kegiatan Reses</t>
  </si>
  <si>
    <t>Hearing/Dialog dan Koordinasi dengan Pejabat Pemerintah Daerah dan Tokoh Masyarakat/Tokoh Agama</t>
  </si>
  <si>
    <t>Kunjungan Kerja Pimpinan dan Anggota MRP</t>
  </si>
  <si>
    <t>Pelayanan Informal Pimpinan MRP</t>
  </si>
  <si>
    <t>Peningkatan Kapasitas Pimpinan dan Anggota MRP</t>
  </si>
  <si>
    <t>Panitia Khusus (PANSUS) Masalah-Masalah di Tanah Papua</t>
  </si>
  <si>
    <t>Peningkatan Kinerja Alat Kelengkapan MRP</t>
  </si>
  <si>
    <t>Badan Pengembangan Sumber Daya Manusia</t>
  </si>
  <si>
    <t>Program Pembinaan dan Pengembangan Aparatur</t>
  </si>
  <si>
    <t>Evaluasi Pasca Diklat Pim</t>
  </si>
  <si>
    <t>Diklat Bahasa Ingris bagi Aparatur</t>
  </si>
  <si>
    <t>Pengembangan Kapasitas SDM Aparatur</t>
  </si>
  <si>
    <t>Pengembangan Kerjasama Penyelenggaraan Diklat</t>
  </si>
  <si>
    <t>Penilaian Angka Kredit Jabatan Fungsional</t>
  </si>
  <si>
    <t>Bantuan Pendidikan Program S2 bagi Aparatur</t>
  </si>
  <si>
    <t>Pengembangan Data dan Informasi Diklat</t>
  </si>
  <si>
    <t>Diklat TOT Subtansi WI</t>
  </si>
  <si>
    <t>Analisis Kebutuhan Diklat</t>
  </si>
  <si>
    <t>Monitoring dan Evaluasi Penyelenggaraan Diklat</t>
  </si>
  <si>
    <t>Diklat Penyusunan Laporan Kinerja (LAKIP)</t>
  </si>
  <si>
    <t>Diklat Perencanaan dan Penganggaran</t>
  </si>
  <si>
    <t>Workshop Standarisasi dan Sertifikasi Kompetensi di Bidang Pengembnangan SDM Provinsi Papua</t>
  </si>
  <si>
    <t>Program Pendidikan Kedinasan</t>
  </si>
  <si>
    <t>Diklat Pim Tingkat IV</t>
  </si>
  <si>
    <t>Inspektorat</t>
  </si>
  <si>
    <t>Program mengintensifkan penanganan pengaduan masyarakat</t>
  </si>
  <si>
    <t>Penanganan kasus pengaduan masyarakat/ Non PKPT di Lingkungan Pemerintah Daerah</t>
  </si>
  <si>
    <t>Program Peningkatan  Pengawasan dan Akuntabilitas Aparatur</t>
  </si>
  <si>
    <t>Pemeriksaan Reguler sesuai PKPT</t>
  </si>
  <si>
    <t>Pemeriksaan Dana Otonomi Khusus (OTSUS)</t>
  </si>
  <si>
    <t>Badan Perencanaan Pembangunan Daerah</t>
  </si>
  <si>
    <t>Pelatihan/Sosialisasi Aparatur dan Vendor</t>
  </si>
  <si>
    <t>Program  perencanaan pembangunan daerah</t>
  </si>
  <si>
    <t>Penyusunan RPJMD Provinsi Papua 2019-2024</t>
  </si>
  <si>
    <t>pelaksanaan monitoring/pemantau pelaksanaan kegiatan pembangunan APBD Provinsi Papua</t>
  </si>
  <si>
    <t>Penyusunan Laporan Keterangan Pertanggungjawaban Akhir Masa Jabatan Gubernur Periode Tahun 2013-2018</t>
  </si>
  <si>
    <t>Papua Development Forum</t>
  </si>
  <si>
    <t>Penyusunan Naskah Akademis dan Draf Perdasus Sisrenbangteks</t>
  </si>
  <si>
    <t>Program  perencanaan sosial dan budaya</t>
  </si>
  <si>
    <t>Musrenbang Otsus di 5 Wilayah Adat Provinsi Papua</t>
  </si>
  <si>
    <t>Program Perencanaan Pembangunan Fisik Prasarana dan Lingkungan Hidup</t>
  </si>
  <si>
    <t>Penyusunan KLHS RPJMD Povinsi Papua Tahun 2018-2023</t>
  </si>
  <si>
    <t>Badan Pengelola Keuangan dan Asset Daerah</t>
  </si>
  <si>
    <t>Program peningkatan dan pengembangan pengelolaan keuangan daerah</t>
  </si>
  <si>
    <t>Pemeliharaan sistem informasi pengelolaan aset daerah</t>
  </si>
  <si>
    <t>Penyusunan Laporan dan Rekonsiliasi Data Kas Daerah</t>
  </si>
  <si>
    <t>Pengamanan, Penertiban Asset Pemerintah Daerah di Dalam dan Luar Provinsi Papua</t>
  </si>
  <si>
    <t>Rapat Kerja Keuangan Daerah se Provinsi Papua</t>
  </si>
  <si>
    <t>Penyusunan Laporan dan Rekonsiliasi Data Bidang Akuntansi</t>
  </si>
  <si>
    <t>Penyusunan Laporan Keuangan Semesteran Pemerintah Provinsi Papua</t>
  </si>
  <si>
    <t>Monitoring dan Evaluasi Hibah,Bantuan Sosial Pemerintah Provinsi Papua</t>
  </si>
  <si>
    <t>Penyusunan Laporan Pemeliharaan dan Penghapusan Aset Daerah</t>
  </si>
  <si>
    <t>Program pembinaan dan fasilitasi pengelolaan keuangan kabupaten/kota</t>
  </si>
  <si>
    <t>Evaluasi rancangan peraturan daerah tentang APBD kabupaten/kota</t>
  </si>
  <si>
    <t>Koordinasi dan Sinkronisasi Sumber Dana OTSUS</t>
  </si>
  <si>
    <t>Satuan Kerja Pengelola Keuangan Daerah</t>
  </si>
  <si>
    <t>Belanja hibah</t>
  </si>
  <si>
    <t>Badan Pengelolaan Pendapatan Daerah</t>
  </si>
  <si>
    <t>Pembangunan rumah dinas</t>
  </si>
  <si>
    <t>Rehabilitasi sedang/berat rumah gedung kantor</t>
  </si>
  <si>
    <t>Badan Kepegawaian Daerah</t>
  </si>
  <si>
    <t>Pengembangan Kualitas SDM</t>
  </si>
  <si>
    <t>Penilaian potensi dan kompetensi jabatan pimpinan tinggi, administrasi dan pegawai</t>
  </si>
  <si>
    <t>Badan Penelitian dan Pengembangan</t>
  </si>
  <si>
    <t>Program Pengembangan Mutu Penelitian dan Pengembangan</t>
  </si>
  <si>
    <t>Kajian pengembangan tata niaga komunitas unggulan di Provinsi Papua</t>
  </si>
  <si>
    <t>Analisis Pemanfaatan Lingkungan terhadap Areal Pasca Tambang</t>
  </si>
  <si>
    <t>Kajian Kebijakan Sektor Kehutanan bidang Pemberdayaan Masyarakat Adat dalam Pengelolaan Hutan Adat</t>
  </si>
  <si>
    <t>Studi Tiru Bidang Penelitian dan Pengembangan</t>
  </si>
  <si>
    <t>Program Penelitian dan Pengembangan IPTEK</t>
  </si>
  <si>
    <t>Pengembangan Teknologi tepat guna untuk mendukung penguatan sistem inovasi daerah</t>
  </si>
  <si>
    <t>Program Optimalisasi Pemanfaatan Teknologi Informasi</t>
  </si>
  <si>
    <t>FGD Isu-isu Aktual di Provinsi Papua</t>
  </si>
  <si>
    <t>B</t>
  </si>
  <si>
    <t xml:space="preserve">KAB/KOTA </t>
  </si>
  <si>
    <t>1</t>
  </si>
  <si>
    <t>Kabupaten Merauke</t>
  </si>
  <si>
    <t>OK</t>
  </si>
  <si>
    <t>Dinas Pendidikan dan Kebudayaan</t>
  </si>
  <si>
    <t>Pembangunan Pagar Rumah Adat (OTSUS)</t>
  </si>
  <si>
    <t>Program Wajib Belajar Pendidikan Dasar Sembilan Tahun</t>
  </si>
  <si>
    <t>Pengadan Bahan Habis Pakai untuk penyediaan Pendukung Pembelajaran dan Praktik Siswa (OTSUS)</t>
  </si>
  <si>
    <t>Pengadaan Pendidik (Guru Kontrak SD) (OTSUS)</t>
  </si>
  <si>
    <t>Pengadaan Bahan Habis Pakai untuk Pendukung Pembelajaran dan Praktik Siswa (OTSUS)</t>
  </si>
  <si>
    <t xml:space="preserve">Pengadaan Makanan dan Minuman Siswa/Siswi SMP berasrama berbasis komoditas lokal (OTSUS) </t>
  </si>
  <si>
    <t>Pembangunan Tempat Ibadah, Perpustakaan, UKS, Kamar Mandi, Jamban &amp; Jaringan Air Bersih  dengan Pipa atau Bak Penampungan Air Hujan disesuaikan dengan kondisi Lingkungan (OTSUS)</t>
  </si>
  <si>
    <t>Pembangunan Asrama Siswa/Siswi SMP Reguler Berasrama (OTSUS)</t>
  </si>
  <si>
    <t>Pengadaan Meubelair dan Perlengkapan Pendukung untuk ruang kelas, Ruang Guru, UKS, perpustakaan, Asrama (OTSUS)</t>
  </si>
  <si>
    <t>Pengadaan Beasiswa melanjutkan (Transisi) untuk Siswa Asli Papua (OTSUS)</t>
  </si>
  <si>
    <t>Pembangunan rumah dinas guru, dan kepala sekolah serta perlengkapannya (OTSUS)</t>
  </si>
  <si>
    <t>Pengadaan listrik dan Jaringannya untuk SD Kecil dan SD-SMP Satu Atap berasrama serta SD Reguler (OTSUS)</t>
  </si>
  <si>
    <t>Pengadaan Pendidik (Guru Kontrak SMP) (OTSUS)</t>
  </si>
  <si>
    <t xml:space="preserve">Afirmasi Lembaga Masyarakat Adat Asli Papua (OTSUS) </t>
  </si>
  <si>
    <t>Program Pendidikan Menengah</t>
  </si>
  <si>
    <t>Pengadaan Makan dan Minum Siswa/i SMA Berasrama (OTSUS)</t>
  </si>
  <si>
    <t>Pengadaan Makan dan Minum Siswa/i SMK Berasrama (OTSUS)</t>
  </si>
  <si>
    <t>Pengembangan pendidikan keaksaraan (OTSUS)</t>
  </si>
  <si>
    <t>Pelatihan Kompetensi Khusus bagi Tenaga Pendidik dan Kependidikan Tingkat SD  (OTSUS)</t>
  </si>
  <si>
    <t>Peningkatan kesehatan masyarakat</t>
  </si>
  <si>
    <t>Peningkatan pelayanan dan penanggulangan masalah kesehatan</t>
  </si>
  <si>
    <t>Penyediaan biaya operasional dan pemeliharaan</t>
  </si>
  <si>
    <t>Pelatihan Tanaman Obat Keluarga (TOGA)</t>
  </si>
  <si>
    <t>Pengawasan Air Minum</t>
  </si>
  <si>
    <t>Penyediaan biaya operasional dan pemeliharaan (OTSUS)</t>
  </si>
  <si>
    <t>Pelayanan Kesehatan Penduduk di Puskesmas (OTSUS)</t>
  </si>
  <si>
    <t>Program Promosi Kesehatan dan Pemberdayaan Masyarakat</t>
  </si>
  <si>
    <t>Pendampingan Kampung Siaga Aktif</t>
  </si>
  <si>
    <t>Penyusunan peta informasi masyarakat kurang gizi</t>
  </si>
  <si>
    <t>Pemberian tambahan makanan dan vitamin (OTSUS)</t>
  </si>
  <si>
    <t>Pelayanan pencegahan dan penanggulangan penyakit menular HIV/AIDS (ODHA)</t>
  </si>
  <si>
    <t>Pelayanan pencegahan dan penanggulangan penyakit menular (SURVEILANS) (OTSUS)</t>
  </si>
  <si>
    <t>Pelayanan pencegahan dan penanggulangan penyakit menular (DBD) (OTSUS)</t>
  </si>
  <si>
    <t>Pelayanan pencegahan dan penanggulangan penyakit menular (DIARE) (OTSUS)</t>
  </si>
  <si>
    <t>Pencegahan Penularan Penyakit Endemik/Epidemik  (FILARIASIS) (OTSUS)</t>
  </si>
  <si>
    <t>Peningkatan imunisasi (OTSUS)</t>
  </si>
  <si>
    <t>Pelayanan pencegahan dan penanggulangan penyakit menular IMS dan VCT (OTSUS)</t>
  </si>
  <si>
    <t>Pencegahan penularan penyakit Endemik/Epidemik (Malaria) (OTSUS)</t>
  </si>
  <si>
    <t>Pencegahan penularan penyakit Endemik/Epidemik (Kusta) (OTSUS)</t>
  </si>
  <si>
    <t>Pencegahan penularan penyakit Endemik/Epidemik (FRAMBUSIA) (OTSUS)</t>
  </si>
  <si>
    <t>Pencegahan Penularan Penyakit TBC (OTSUS)</t>
  </si>
  <si>
    <t>Program peningkatan keselamatan ibu melahirkan dan anak</t>
  </si>
  <si>
    <t>Pelayanan Ibu Hamil (ANC)</t>
  </si>
  <si>
    <t>Pelatihan Asuhan Persalinan Normal</t>
  </si>
  <si>
    <t>Dinas Pekerjaan Umum, Penataan Ruang dan Pertanahan</t>
  </si>
  <si>
    <t xml:space="preserve">Program Peningkatan Sarana dan Prasarana Aparatur </t>
  </si>
  <si>
    <t>Pembangunan Gedung Kantor (OTSUS)</t>
  </si>
  <si>
    <t>Program Pengembangan Kinerja Pengelolaan Air Minum dan Air Limbah</t>
  </si>
  <si>
    <t>Penyediaan prasarana dan sarana air minum bagi masyarakat berpenghasilan rendah (OTSUS)</t>
  </si>
  <si>
    <t>Dinas Perumahan Rakyat dan Kawasan Permukiman</t>
  </si>
  <si>
    <t>Program Pengembangan Perumahan</t>
  </si>
  <si>
    <t>Fasilitasi dan stimulasi pembangunan perumahan masyarakat kurang mampu (OTSUS)</t>
  </si>
  <si>
    <t>Dinas Tenaga Kerja dan Transmigrasi</t>
  </si>
  <si>
    <t>Pelatihan Keterampilan Berbasis Kompetensi (OTSUS)</t>
  </si>
  <si>
    <t>Pelatihan Kewirausahaan dan Terapan Teknologi Tepat Guna (OTSUS)</t>
  </si>
  <si>
    <t>Peningkatan dan Kompetensi Kerja Melalui Pemagangan (OTSUS)</t>
  </si>
  <si>
    <t>Dinas Pemberdayaan Perempuan, Perlindungan Anak, Pengendalian Penduduk dan Keluarga Berencana</t>
  </si>
  <si>
    <t>Program penguatan kelembagaan pengarusutamaan gender dan anak</t>
  </si>
  <si>
    <t>Workshop Peningkatan peran perempuan OAP dalam Pengambilan Keputusan</t>
  </si>
  <si>
    <t>Sosialisasi dan advokasi kebijakan penghapusan buta aksara perempuan (PBAP)</t>
  </si>
  <si>
    <t>Upaya Perlindungan  di Kampung -kampung dan daerah pedalaman (OTSUS)</t>
  </si>
  <si>
    <t>Program Peningkatan Peran Serta Dan Dan Kesetaraan Gender Dalam Pembangunan</t>
  </si>
  <si>
    <t>Pelaksanaan Sosialisasi yang terkait dengan kesetaraan Gender, Pemberdayaan Perempuan  dan Perlindungan  Anak OAP (OTSUS)</t>
  </si>
  <si>
    <t>Bimbingan Managemen Usaha Bagi Perempuan OAP dalam Mengelola Usaha (OTSUS)</t>
  </si>
  <si>
    <t>Pendidikan dan Pelatihan Peningkatan Peran serta dan kesetaraan Gender (OTSUS)</t>
  </si>
  <si>
    <t>Program Keluarga Berencana</t>
  </si>
  <si>
    <t>Kegiatan Penyuluhan Bagi Ibu Rumah Tangga Dalam Membangun Keluarga Sejahtera (OTSUS)</t>
  </si>
  <si>
    <t>Kegiatan Peningkatan Perlindungan Hak Reproduksi Individu (OTSUS)</t>
  </si>
  <si>
    <t>Pelayanan KIE Keluarga Sejahtera (OTSUS)</t>
  </si>
  <si>
    <t>Pembinaan Keluarga Berencana (OTSUS)</t>
  </si>
  <si>
    <t>Dinas Ketahanan Pangan, Peternakan dan Kesehatan Hewan</t>
  </si>
  <si>
    <t>Program Peningkatan Ketahanan Pangan (Pertanian/Perkebunan)</t>
  </si>
  <si>
    <t>Pengembangan Kawasan Rumah Pangan Lestari (Otsus)</t>
  </si>
  <si>
    <t>Pengembangan Lumbung Pangan Desa (Otsus)</t>
  </si>
  <si>
    <t>Pengembangan Desa Mandiri Pangan (Otsus)</t>
  </si>
  <si>
    <t>Peningkatan Kesejahteraan Petani</t>
  </si>
  <si>
    <t>Pembinaan Petani dan Pelaku Agribisnis (Otsus)</t>
  </si>
  <si>
    <t>Program Pencegahan dan Penanggulangan Penyakit Ternak</t>
  </si>
  <si>
    <t>Pelayanan Kesehatan Hewan Penyebaran Ternak (Otsus)</t>
  </si>
  <si>
    <t>Program Peningkatan Produksi Hasil Peternakan</t>
  </si>
  <si>
    <t>Pengadaan ternak Babi (OTSUS)</t>
  </si>
  <si>
    <t>Pengadaan ternak Unggas(OTSUS)</t>
  </si>
  <si>
    <t>Penyelenggaraan pelatihan kewirausahaan</t>
  </si>
  <si>
    <t>Peningkatan Kualitas Manajemen UKM ( Otsus )</t>
  </si>
  <si>
    <t>Peningkatan Kualitas Pelayanan dan Pemenuhan Standar / Ketentaun (OTSUS)</t>
  </si>
  <si>
    <t>Pembinaan Koperasi peran serta Masyarakat Adat Ali Papua (KOPERMAS) (OTSUS)</t>
  </si>
  <si>
    <t>Dinas Perikanan</t>
  </si>
  <si>
    <t>Program pemberdayaan ekonomi masyarakat pesisir</t>
  </si>
  <si>
    <t>Pembinaan kelompok ekonomi Masyarakat Pesisir (OTSUS)</t>
  </si>
  <si>
    <t>Program pengembangan perikanan tangkap</t>
  </si>
  <si>
    <t>Pendampingan pada Kelompok Nelayan Perikanan Tangkap OAP (OTSUS)</t>
  </si>
  <si>
    <t>Dinas Pertanian</t>
  </si>
  <si>
    <t>Pelatihan petani dan pelaku agribisnis (OTSUS)</t>
  </si>
  <si>
    <t>Peningkatan Produksi dan Produktivitas Tanaman Pangan dan Holtikultura (OTSUS)</t>
  </si>
  <si>
    <t>Pengadaan Sarana Prasarana Teknologi Pertanian/ Perkebunan Tepat Guna (OTSUS)</t>
  </si>
  <si>
    <t>Penyediaan sarana produksi pertanian/perkebunan (OTSUS)</t>
  </si>
  <si>
    <t>Pengembangan bibit unggul pertanian/perkebunan (OTSUS)</t>
  </si>
  <si>
    <t>Program Peningkatan Sumber Daya Pertanian</t>
  </si>
  <si>
    <t>Peningkatan Sarana dan Prasarana Pertanian (OTSUS)</t>
  </si>
  <si>
    <t>Program peningkatan kapasitas iptek sistem produksi</t>
  </si>
  <si>
    <t>Pengembangan sistem inovasi teknologi industri (OTSUS)</t>
  </si>
  <si>
    <t>Program pengembangan industri kecil dan menengah</t>
  </si>
  <si>
    <t>Fasilitasi kerjasama kemitraan industri mikro, kecil dan menengah dengan swasta (OTSUS)</t>
  </si>
  <si>
    <t>Program penataan struktur industri</t>
  </si>
  <si>
    <t>Penyediaan sarana maupun prasarana klaster industri (OTSUS)</t>
  </si>
  <si>
    <t>Program peningkatan efisiensi perdagangan dalam negeri</t>
  </si>
  <si>
    <t>Subsidi Kebutuhan Bahan Pokok (OTSUS)</t>
  </si>
  <si>
    <t>Bagian Kesejahteraan Rakyat</t>
  </si>
  <si>
    <t>Program Peningkatan Pendidikan Mahasiswa</t>
  </si>
  <si>
    <t>Bantuan Studi Kemahasiswaan (OTSUS)</t>
  </si>
  <si>
    <t>Program peningkatan sistem pengawasan internal dan pengendalian pelaksanaan kebijakan KDH</t>
  </si>
  <si>
    <t>PEELAKASANAAN PENGAWASAN INTERNAL SECARA BERKALA (OTSUS)</t>
  </si>
  <si>
    <t>Badan Perencanaan Pembangunan Daerah, Penelitian dan Pengembangan</t>
  </si>
  <si>
    <t>Program perencanaan pembangunan daerah</t>
  </si>
  <si>
    <t>Penyusunan URD/RD Dana Otsus</t>
  </si>
  <si>
    <t>Monitoring, evaluasi dan pelaporan (OTSUS)</t>
  </si>
  <si>
    <t>2</t>
  </si>
  <si>
    <t>Kabupaten Jayawijaya</t>
  </si>
  <si>
    <t>Program Pendidikan Anak Usia Dini</t>
  </si>
  <si>
    <t>Pelatihan Kompetensi Tenaga Pendidik dan Kependidikan</t>
  </si>
  <si>
    <t>Penyelenggaraan PAUD non formal dan formal</t>
  </si>
  <si>
    <t>Pelatihan bagi pendidik dalam penerapan pendidikan ramah anak</t>
  </si>
  <si>
    <t>Pengadaan alat permainan edukatif indoor dan outdoor</t>
  </si>
  <si>
    <t>Pengadaan buku penunjang komptensi tumbuh kembang dan pengayaan bagi Siswa</t>
  </si>
  <si>
    <t>Pembangunan gedung sekolah SD</t>
  </si>
  <si>
    <t xml:space="preserve">Pelatihan kompetensi khusus bagi tenaga pendidik dan kependidikan (SMP) termasuk Life Skill pencegahan HIV/AIDS </t>
  </si>
  <si>
    <t>Pembinaan SMP terbuka</t>
  </si>
  <si>
    <t>Pembinaan kelembagaan dan menajemen sekolah dengan penerapan Manajemen Berbasis Sekolah (MBS) di Satuan Pendidikan Dasar</t>
  </si>
  <si>
    <t>Pelatihan kompetensi siswa berprestasi SD</t>
  </si>
  <si>
    <t>Penyelenggaraan akreditasi sekolah dasar</t>
  </si>
  <si>
    <t>Penyelenggaraan akreditasi SMP</t>
  </si>
  <si>
    <t>Pengadaan Bantuan Beasiswa Melanjutkan Siswa SD Asli Papua</t>
  </si>
  <si>
    <t>Pengadaan Bantuan Beasiswa Melanjutkan Siswa SMP Asli Papua</t>
  </si>
  <si>
    <t>Pembinaan kelembagaan pelaksanaan MBS dan pelatihan penyusunan RKA/RKAS SMP</t>
  </si>
  <si>
    <t>Pelatihan kompetensi pendidik (SD) termasuk pencegahan HIV/AIDS</t>
  </si>
  <si>
    <t>Pelatihan kompetensi siswa berprestasi SMP</t>
  </si>
  <si>
    <t>Pembangunan pagar sekolah SMP</t>
  </si>
  <si>
    <t>Pembangunan Gedung SD Kecil (SD Effata)</t>
  </si>
  <si>
    <t>Pengadaan peralatan komputer</t>
  </si>
  <si>
    <t>Penyediaan biaya operasional bagi lembaga, pelatihan dan honorarium pengelola lembaga kelompok adat</t>
  </si>
  <si>
    <t>penyelenggaraan pendidkan keaksaraan dasar dan ketrampilan</t>
  </si>
  <si>
    <t>Pengembangan model pendidikan kekasaraan yang sesuai dengan kondisi sosial budaya</t>
  </si>
  <si>
    <t>Pembangunan sarana dan prasarana pendidikan non formal</t>
  </si>
  <si>
    <t>Pembinaan kelompok kerja guru (KKG)</t>
  </si>
  <si>
    <t>Penyelenggaran Ujian Akhir Nasional/Ujian Akhir Sekolah (UAN/UAS)</t>
  </si>
  <si>
    <t>KESEHATAN</t>
  </si>
  <si>
    <t>Program Peningkatan Kapasitas Sumber Daya Aparatur</t>
  </si>
  <si>
    <t>Pelatihan Tenaga Pengelola Program Malaria</t>
  </si>
  <si>
    <t>Pelatihan Pencatatan dan Pelaporan Kesehatan Ibu dan Anak Bagi Bidan Desa</t>
  </si>
  <si>
    <t>Pelatihan Asuhan Persalinan Normal (APN)</t>
  </si>
  <si>
    <t>Pelatihan TB Resistensi Obat</t>
  </si>
  <si>
    <t>Peningkatan pemerataan obat dan perbekalan kesehatan</t>
  </si>
  <si>
    <t>Pelayanan kesehatan penduduk miskin dipuskesmas dan jaringannya</t>
  </si>
  <si>
    <t>Pemeliharaan dan pemulihan kesehatan</t>
  </si>
  <si>
    <t>Penyuluhan masyarakat pola hidup sehat</t>
  </si>
  <si>
    <t>Pelatihan Pemberdayaan Masyarakat Kampung Siaga Aktif</t>
  </si>
  <si>
    <t>Fasilitasi Biaya PKL D3 Keperawatan</t>
  </si>
  <si>
    <t>Pemberian tambahan makanan dan vitamin</t>
  </si>
  <si>
    <t>Penanggulangan kurang energi protein (KEP), anemia gizi besi, gangguan akibat kurang yodium (GAKY), kurang vitamin A ...</t>
  </si>
  <si>
    <t>Gizi 1000 Hari Kehidupan</t>
  </si>
  <si>
    <t>Pelayanan vaksinasi bagi balita dan anak sekolah</t>
  </si>
  <si>
    <t>Peningkatan Imunisasi</t>
  </si>
  <si>
    <t>Peningkatan surveillance epideminologi dan penaggulangan wabah</t>
  </si>
  <si>
    <t>VCT Mobile Menemukan Pasein HIV Baru dan Diobati ARV</t>
  </si>
  <si>
    <t>Program Peningkatan Keselamatan Ibu Melahirkan dan Anak</t>
  </si>
  <si>
    <t>Penyuluhan Kesehatan Bagi Ibu Hamil dan Keluarga Kurang mampu</t>
  </si>
  <si>
    <t>Perawatan Berkala Bagi Ibu Hamil Dari Keluarga Kurang Mampu</t>
  </si>
  <si>
    <t>Pertolongan Persalinan Bagi Ibu Hamil Dari keluarga Kurang Mampu</t>
  </si>
  <si>
    <t>Rumah Sakit Umum Daerah</t>
  </si>
  <si>
    <t>Peningkatan kualitas pelayanan</t>
  </si>
  <si>
    <t>Pengadaan obat dan pengiriman ke puskesmas dan jaringannya termasuk obat ARV</t>
  </si>
  <si>
    <t>Peningkatan Pelayanan Laboratorium</t>
  </si>
  <si>
    <t>Penyediaan Peralatan Laboratorium untuk Fasyankes</t>
  </si>
  <si>
    <t>Pemberian makanan tamnahan kepada bayi, balita dan ibu hamil</t>
  </si>
  <si>
    <t>PEKERJAAN UMUM</t>
  </si>
  <si>
    <t>Dinas Pekerjaan Umum dan Penataan Ruang</t>
  </si>
  <si>
    <t>Program pengembangan kinerja pengelolaan air minum dan air limbah</t>
  </si>
  <si>
    <t>Penyediaan prasarana dan sarana air minum bagi masyarakat berpenghasilan rendah</t>
  </si>
  <si>
    <t>Penyediaan prasarana dan sarana air limbah</t>
  </si>
  <si>
    <t>Program pembangunan infrastruktur perdesaaan</t>
  </si>
  <si>
    <t>Pembangunan jalan dan jembatan perdesaan</t>
  </si>
  <si>
    <t>PERUMAHAN</t>
  </si>
  <si>
    <t>Dinas Perumahan dan Kawasan Permukiman</t>
  </si>
  <si>
    <t>Pembangunan sarana dan prasarana rumah sederhana sehat</t>
  </si>
  <si>
    <t>SOSIAL</t>
  </si>
  <si>
    <t>Dinas Sosial</t>
  </si>
  <si>
    <t>Program Pemberdayaan Fakir Miskin, Komunitas Adat Terpencil (KAT) dan Penyandang Masalah Kesejahteraan Sosial (PMKS) Lai</t>
  </si>
  <si>
    <t>Pelatihan keterampilan berusaha bagi keluarga miskin</t>
  </si>
  <si>
    <t>URUSAN WAJIB BUKAN PELAYANAN DASAR</t>
  </si>
  <si>
    <t>PERHUBUNGAN</t>
  </si>
  <si>
    <t>Dinas Perhubungan</t>
  </si>
  <si>
    <t>Program Pembangunan Sarana dan Fasilitas Perhubungan</t>
  </si>
  <si>
    <t>Peningkatan Sarana Lapangan Terbang</t>
  </si>
  <si>
    <t>KEPENDUDUKAN DAN CATATAN SIPIL</t>
  </si>
  <si>
    <t>Dinas Kependudukan dan Pencatatan Sipil</t>
  </si>
  <si>
    <t>Program Penataan Administrasi Kependudukan</t>
  </si>
  <si>
    <t>Implementasi sistem administrasi kependudukan OAP</t>
  </si>
  <si>
    <t>PEMBERDAYAAN PEREMPUAN DAN PERLINDUNGAN ANAK</t>
  </si>
  <si>
    <t>Workshop peningkatan peran perempuan OAP dalam pengambilan keputusan (Pembinaan pada Kelembagaan Anak)</t>
  </si>
  <si>
    <t>Workshop peningkatan peran perempuan OAP dalam pengambilan keputusan (Sosialisasi pendidikan pada Kampung Ramah Anak)</t>
  </si>
  <si>
    <t>Pelatihan bagi pelatih (TOT) SDM pelayanan dan pendampingan korban KDRT</t>
  </si>
  <si>
    <t>Fasilitasi upaya perlindungan perempuan terhadap tindak kekerasan</t>
  </si>
  <si>
    <t>Fasilitasi upaya perlindungan perempuan terhadap tindak kekerasan (sosialisasi pencatatan dan pelaporan KDRT)</t>
  </si>
  <si>
    <t>Program Peningkatan peran serta dan kesetaraan jender dalam pembangunan</t>
  </si>
  <si>
    <t>Pelaksanaan sosialisasi terkait dengan kesetaraan gender pemberdayaan perempuan dan perlindungan anak OAP</t>
  </si>
  <si>
    <t>Pelaksanaan sosialisasi terkait dengan kesetaraan gender P3A  OAP (Pembinaan organisasi perempuan)</t>
  </si>
  <si>
    <t>Pembinaan keluarga berencana (Advokasi dan KIE tentang kesehatan reproduksi remaja (KRR)</t>
  </si>
  <si>
    <t xml:space="preserve">Penyuluhan bagi ibu rumah rangga dalam membangun keluarga sejahtera </t>
  </si>
  <si>
    <t>Pencegahan dan pemberantasan IMS dan HIV/AIDS</t>
  </si>
  <si>
    <t>Pelayanan KB (Penyediaan alat KB dan KIE serta pemasangan alat KB)</t>
  </si>
  <si>
    <t>Dinas Tenaga Kerja, Perindustrian dan Perdagangan</t>
  </si>
  <si>
    <t>Program Pengembangan Indiustri Kecil dan Menengah</t>
  </si>
  <si>
    <t>Fasilitasi kerjasama kemitraan industri mikro, kecil dan menengah dengan swasta</t>
  </si>
  <si>
    <t>Program Peningkatan Kemampuan Teknologi Industri</t>
  </si>
  <si>
    <t>Pembinaan kemampuan teknologi industri</t>
  </si>
  <si>
    <t>Program Pembinaan dan Pengembangan Bidang Ketenagalistrikan</t>
  </si>
  <si>
    <t>Perluasan Jaringan Listrik</t>
  </si>
  <si>
    <t>Program Pengembangan Kewirausahaan dan Keunggulan Kompetitif UKM</t>
  </si>
  <si>
    <t>Penciptaan wirausaha baru khususnya wirausaha asli Papua</t>
  </si>
  <si>
    <t>Fasilitasi dukungan pemodalan dan penjaminan usaha</t>
  </si>
  <si>
    <t>Program Pembinaan dan Pendampingan Pelaku Usaha Ekonomi Kerakyatan</t>
  </si>
  <si>
    <t>Peningkatan kualitas sumber daya manusia pelaku usaha mini mikro, mikro dan kecil</t>
  </si>
  <si>
    <t>PENANAMAN MODAL</t>
  </si>
  <si>
    <t>Dinas Penanaman Modal, Koperasi dan Pelayanan Terpadu Satu Pintu</t>
  </si>
  <si>
    <t>Peningkatan kualitas pelayanan dan pemenuhan standar/ketentuan pengelolaan koperasi</t>
  </si>
  <si>
    <t>DINAS KEBUDAYAAN</t>
  </si>
  <si>
    <t>Dinas Kebudayaan dan Pariwisata</t>
  </si>
  <si>
    <t>Pengembangan kebudayaan dan pariwisata</t>
  </si>
  <si>
    <t>Fasilitasi Penyelenggaraan Festival Budaya Daerah (Perlindungan, Pembinaan, dan Pengembangan Kebudayaan Asli Papua)</t>
  </si>
  <si>
    <t>Program Pengembangan kerjasama pengelolaan kekayaan budaya</t>
  </si>
  <si>
    <t>Fasilitasi Ppembentukan kemitraan usaha profesi antar daerah</t>
  </si>
  <si>
    <t>Peningkatan peran serta masyarakat dalam pengembangan kemitraan pariwisata</t>
  </si>
  <si>
    <t>KEPEMUDAAN DAN OLAHRAGA</t>
  </si>
  <si>
    <t>Dinas Olahraga dan Pemuda</t>
  </si>
  <si>
    <t>Pencegahan dan Penanggulangan Penyakit Menular</t>
  </si>
  <si>
    <t>Program Wajib Belajar pendidikan Dasar 9 Tahun (SMP)</t>
  </si>
  <si>
    <t>Pembangunan ruang serbaguna/lapangan olahraga</t>
  </si>
  <si>
    <t>Program Pendidikan Menengah Atas (SMA)</t>
  </si>
  <si>
    <t>Pembangunan ruang serba guna/lapangan olahraga</t>
  </si>
  <si>
    <t>Program Peningkatan Ketahanan Pangan pertanian</t>
  </si>
  <si>
    <t>Pengembangan lumbung/cadangan pangan masyarakat spesifik lokal</t>
  </si>
  <si>
    <t>Pengembangan pekarangan oleh kelompok wanita tani OAP</t>
  </si>
  <si>
    <t>Pemberdayaan kewirausahaan kelompok pengusaha OAP produk lokal</t>
  </si>
  <si>
    <t>Penguatan institusi masyarakat adat asli dalam pengelolaan hak ulayat untuk produksi</t>
  </si>
  <si>
    <t>Pendamping bagi pelaku usaha ekonomi masyarakat orang asli Papua dengan karakteristik sosial budaya setempat</t>
  </si>
  <si>
    <t>Program Peningkatan Penerapan Teknologi Pertanian/Perkebunan</t>
  </si>
  <si>
    <t>Pelatihan dan bimbingan pengoperasian teknologi pertanian/pertanian tepat guna</t>
  </si>
  <si>
    <t>Pelatihan kader</t>
  </si>
  <si>
    <t>Program Wajib Belajar Pendidikan Dasar 9 Tahun (Jenjang SD)</t>
  </si>
  <si>
    <t>Pengadaan makanan tambahan anak sekolah SD reguler berbasis bahan makanan lokal</t>
  </si>
  <si>
    <t>Program Peningkatan Peran Serta dan Kesetaraan Jender dalam Pembangunan</t>
  </si>
  <si>
    <t>Pembinaan Organisasi Perempuan</t>
  </si>
  <si>
    <t>KOMUNIKASI DAN INFORMATIKA</t>
  </si>
  <si>
    <t>Program Pengembangan Komunikasi, Informasi dan Media Massa</t>
  </si>
  <si>
    <t>Pembinaan dan pengembangan sumber daya komunikasi dan informasi</t>
  </si>
  <si>
    <t>Dinas Perpustakaan dan Arsip Daerah</t>
  </si>
  <si>
    <t>Program Pendidikan Non Formal dan In Formal</t>
  </si>
  <si>
    <t>Pengembangan model pendidikan keakraan yang sesuai dengan kondisi sosial budaya</t>
  </si>
  <si>
    <t>Program Pendidkan Menengah Atas (SMA)</t>
  </si>
  <si>
    <t>Pengadaan buku penunjang pembelajaran dan pengayaan siswa</t>
  </si>
  <si>
    <t>PERTANIAN</t>
  </si>
  <si>
    <t>Program peningkatan ketahanan pangan pertanian/perkebunan</t>
  </si>
  <si>
    <t>Pengembangan perbinihan/perbibitan</t>
  </si>
  <si>
    <t>Pembukaan Lahan Tidur (Pencetakan Sawah)</t>
  </si>
  <si>
    <t>Penyediaan tenaga penyuluh pertanian</t>
  </si>
  <si>
    <t>Program peningkatan kesejahteraan petani</t>
  </si>
  <si>
    <t>Pelatihan petani dan pelaku agribisnis</t>
  </si>
  <si>
    <t>Pemeliharaan kebun kopi rakyat (pemeliharaan kebun benih tanaman perkebunan)</t>
  </si>
  <si>
    <t>Pembelian dan pendistribusian vaksin dan pakan ternak</t>
  </si>
  <si>
    <t>Pendistribusian bibit ternak kepada masyarakat</t>
  </si>
  <si>
    <t>Program Peningkatan Penerapan Teknologi Peternakan</t>
  </si>
  <si>
    <t>Pelatihan dan bimbingan penerapan teknologi peternakan tepat guna</t>
  </si>
  <si>
    <t>Pendamping kelompok pembudidaya</t>
  </si>
  <si>
    <t>URUSAN PEMERINTAH FUNGSI PENUNJANG</t>
  </si>
  <si>
    <t>PERENCANAAN PEMBANGUNAN</t>
  </si>
  <si>
    <t>Program Perencanaan Pembangunan Daerah</t>
  </si>
  <si>
    <t>Monitoring, evaluasi dan pelaporan pelaksanaan rencana pembangunan daerah</t>
  </si>
  <si>
    <t>Penyusunan URD/RD Dana OTSUS</t>
  </si>
  <si>
    <t>Program Perencanaan Pembangunan Ekonomi</t>
  </si>
  <si>
    <t>Monitoring, evaluasi dan pelaporan bidang perekonomian dan SDA</t>
  </si>
  <si>
    <t>Program Perencanaan Sosial Budaya</t>
  </si>
  <si>
    <t>Monitoring, evaluasi dan pelaporan bidang sosial, budaya dan pemerintahan</t>
  </si>
  <si>
    <t>Program Perencanaan Prasarana Wilayah dan Sumber Daya Alam</t>
  </si>
  <si>
    <t>Monitoring, evaluasi dan pelaporan bidang infrastruktur dan pengembangan kawasan</t>
  </si>
  <si>
    <t>OTONOMI DAERAH, PEMERINTAHAN UMUM, ADMINISTRASI KEUANGAN DAERAH, PERANGKAT DAERAH, KEPEGAWAIAN DAN PERSANDIAN</t>
  </si>
  <si>
    <t>Badan Pengelolaan Keuangan dan Aset Daerah</t>
  </si>
  <si>
    <t>Belanja Tidak Langsung [PPKD]</t>
  </si>
  <si>
    <t>Belanja Subsidi Raskin Kepada BULOG</t>
  </si>
  <si>
    <t>Belanja Hibah TMMD</t>
  </si>
  <si>
    <t>Badan/Lembaga/Organisasi</t>
  </si>
  <si>
    <t>Belanja Hibah kepada Organisasi Keagamaan (Sumber Dana Otsus)</t>
  </si>
  <si>
    <t>Belanja Hibah kepada KPAD Jayawijaya</t>
  </si>
  <si>
    <t>Belanja Hibah kepada Lembaga Masyarakat Adat (LMA)</t>
  </si>
  <si>
    <t>Belanja Hibah Kepada Mahasiswa (Sumber Dana Otsus)</t>
  </si>
  <si>
    <t>Belanja Hibah Kepada Yayasan Francis Tan</t>
  </si>
  <si>
    <t>Pengawasan Pelaksanaan Kegiatan Dana Otonomi Khusus Papua</t>
  </si>
  <si>
    <t>3</t>
  </si>
  <si>
    <t>KABUPATEN JAYAPURA</t>
  </si>
  <si>
    <t>DINAS PENDIDIKAN</t>
  </si>
  <si>
    <t>Program PENDIDIKAN ANAK USIA DINI</t>
  </si>
  <si>
    <t>Pembangunan Gedung Sekolah</t>
  </si>
  <si>
    <t xml:space="preserve">Pengadaan Buku-buku dan Alat Tulis </t>
  </si>
  <si>
    <t>Pengadaan Alat Praktik dan Peraga</t>
  </si>
  <si>
    <t>Pengadaan Meubelair</t>
  </si>
  <si>
    <t>Pengadaan Perlengkapan Sekolah</t>
  </si>
  <si>
    <t>Pelatihan Kompetensi Tenaga Pendidik</t>
  </si>
  <si>
    <t>Penyelenggaraan Pendidikan Anak Usia Dini</t>
  </si>
  <si>
    <t>Pengembangan Kurikulum bahan ajar dan Model Pembelajaran Pendidikan Anak Usia Dini</t>
  </si>
  <si>
    <t>Penyelenggaraan Koordinas dan Kerjasama Pendidikan Anak Usia Dini</t>
  </si>
  <si>
    <t>Penyediaan Bantuan Operasional Siswa Papua Jenjang TK</t>
  </si>
  <si>
    <t>Program WAJIB BELAJAR PENDIDIKAN DASAR 9 TAHUN</t>
  </si>
  <si>
    <t>Pembangunan Perpustakaan Sekolah</t>
  </si>
  <si>
    <t>Pelatihan Kompetensi Siswa Berprestasi</t>
  </si>
  <si>
    <t>Pelatihan Penyusunan Kurikulum</t>
  </si>
  <si>
    <t>Penyediaan Dana Pengembangan Sekolah untuk SD/MI dan SMP/MTs</t>
  </si>
  <si>
    <t>Penyelenggaraan Multi Grade Teaching di Daerah Terpencil</t>
  </si>
  <si>
    <t>Penyediaan Bantuan Operasional Siswa Papua Jenjang SD/MI dan SMP/MTs</t>
  </si>
  <si>
    <t>Pengadaan Peralatan TIK</t>
  </si>
  <si>
    <t>Pelatihan Pembina Pramuka Guru SD dan SMP</t>
  </si>
  <si>
    <t>Pelatihan Kepala Sekolah dan Pengawasan</t>
  </si>
  <si>
    <t>Program PENDIDIKAN NON FORMAL PNFI</t>
  </si>
  <si>
    <t>Pemberdayaan Tenaga Pendidik Non Formal</t>
  </si>
  <si>
    <t>Pembinaan Pendidikan Kursus dan Kelembagaan</t>
  </si>
  <si>
    <t>Pengembangan Pendidikan Keaksaraan</t>
  </si>
  <si>
    <t>Pengembangan Pendidikan Kecakapan Hidup</t>
  </si>
  <si>
    <t>Pengembangan Data dan Informasi Pendidikan Non Formal</t>
  </si>
  <si>
    <t>Pelatihan Tutor Keaksaraan</t>
  </si>
  <si>
    <t>Ujian Paket A Setara SD, Paket B setara SMP, Paket C Setara SMA</t>
  </si>
  <si>
    <t>Penghargaan Tenaga Pendidik dan Kependidikan Non Formal</t>
  </si>
  <si>
    <t>Program PENINGKATAN MUTU PENDIDIK DAN TENAGA KEPENDIDIKAN</t>
  </si>
  <si>
    <t>Pelatihan Bagi Pendidik untuk Memenuhi Standar Kompetensi</t>
  </si>
  <si>
    <t>Pembinaan Kelompok Kerja Guru (KKG)</t>
  </si>
  <si>
    <t>Pendidikan Lanjutan Bagi Pendidik Untuk Memenuhi Standar Kualifikasi</t>
  </si>
  <si>
    <t>Program MANAJEMEN PELAYANAN PENDIDIKAN</t>
  </si>
  <si>
    <t>Bantuan Pendidikan Bagi Mahasiswa</t>
  </si>
  <si>
    <t>Insentif Guru Khusus SD, SMP, SMA/SMK</t>
  </si>
  <si>
    <t>Penyediaan Tenaga Guru Kontrak</t>
  </si>
  <si>
    <t>Belanja Tidak Langsung (BTL)</t>
  </si>
  <si>
    <t>BADAN KEPEGAWAIAN DAN PENEGEMBANGAN SDM</t>
  </si>
  <si>
    <t>Pelaksanaan Kerjasama Secara Kelembagaan di Bidang Pendidikan</t>
  </si>
  <si>
    <t>URUSAN KESEHATAN</t>
  </si>
  <si>
    <t>DINAS KESEHATAN</t>
  </si>
  <si>
    <t>Program UPAYA KESEHATAN MASYARAKAT</t>
  </si>
  <si>
    <t>Penyelenggaraan Pencegahan dan Pemberantasan Penyakit Menular dan Wabah (Penanggulan HIV/AIDS)</t>
  </si>
  <si>
    <t>Peningkatan Kesehatan Masyarakat</t>
  </si>
  <si>
    <t>Penyediaan Biaya Operasional dan Pemeliharaan (Puskesmas, Pustu &amp; Polindes)</t>
  </si>
  <si>
    <t>Penyelenggaraan Penyehatan Lingkungan</t>
  </si>
  <si>
    <t>Penyediaan Insentif Dokter dan Paramedis</t>
  </si>
  <si>
    <t>Rekruitmen Tenaga Perawat Kesehatan</t>
  </si>
  <si>
    <t>Penyelengaraan dan Penanggulangan Penyakit Tidak Menular</t>
  </si>
  <si>
    <t>Program PROMOSI KESEHATAN DAN PEMBERDAYAAN MASYARAKAT</t>
  </si>
  <si>
    <t xml:space="preserve">Penyuluhan Masyarakat Pola Hidup Sehat </t>
  </si>
  <si>
    <t>Peningkatan Pendidikan Tenaga Penyuluh Kesehatan</t>
  </si>
  <si>
    <t xml:space="preserve"> Program PERBAIKAN GIZI MASYARAKAT</t>
  </si>
  <si>
    <t>Pemberian Tambahan Makanan dan Vitamin</t>
  </si>
  <si>
    <t>Program PENGEMBANGAN LINGKUNGAN SEHAT</t>
  </si>
  <si>
    <t>Pengembangan Lingkungan Sehat</t>
  </si>
  <si>
    <t>Program PENCEGAHAN DAN PENANGGULANGAN PENYAKIT MENULAR</t>
  </si>
  <si>
    <t>Penyemprotan/Foging Sarang Nyamuk</t>
  </si>
  <si>
    <t>Pelayanan Vaksinasi bagi Balita dan Anak Sekolah</t>
  </si>
  <si>
    <t>Pelayanan Pencegahan dan Penanggulangan Penyakit Menular</t>
  </si>
  <si>
    <t>Pencegahan Penularan Penyakit Endemik/Epidemik (Malaria)</t>
  </si>
  <si>
    <t xml:space="preserve"> Program Pengadaan, Peningkatan dan Perbaikan Sarana dan Prasarana Puskesmas/Pustu dan Jaringannya</t>
  </si>
  <si>
    <t>Pembangunan Puskesmas Pembantu</t>
  </si>
  <si>
    <t>Belanja Tidak Langsung</t>
  </si>
  <si>
    <t>RSUD YOWARI</t>
  </si>
  <si>
    <t>Pemeliharaan dan Pemulihan Kesehatan</t>
  </si>
  <si>
    <t>URUSAN EKONOMI</t>
  </si>
  <si>
    <t>DINAS KELAUTAN DAN PERIKANAN</t>
  </si>
  <si>
    <t>Program Pemberdayaan Ekonomi Masyarakat Pesisir</t>
  </si>
  <si>
    <t>Pemberdayaan Ekonomi Masyarakat Pesisir</t>
  </si>
  <si>
    <t>Program PENGEMBANGAN BUDIDAYA PERIKANAN</t>
  </si>
  <si>
    <t>Pembinaan Pengembangan Perikanan</t>
  </si>
  <si>
    <t>Program Pengembangan Perikanan Tangkap</t>
  </si>
  <si>
    <t>Pendampingan pada Kelompok Nelayanan Perikanan Tangkap</t>
  </si>
  <si>
    <t>DINAS TANAMAN PANGAN &amp; HORTIKULTURA</t>
  </si>
  <si>
    <t xml:space="preserve"> Program PENINGKATAN KETAHANAN PANGAN</t>
  </si>
  <si>
    <t>Pengembangan Lumbung / Cadangan Pangan Masyarakat Spesifik Lokal</t>
  </si>
  <si>
    <t>Peningkatan Produksi dan Produktifitas Tanaman Pangan dan Hortikultura</t>
  </si>
  <si>
    <t>Program Peningkatan Produksi Pertanian/Perkebunan</t>
  </si>
  <si>
    <t>Pengembangan Bibit Unggul Pertanian/Perkebunan</t>
  </si>
  <si>
    <t>Program Sumber Daya Pertanian/Perkebunan</t>
  </si>
  <si>
    <t>Peningkatan Pengetahuan dan Ketrampilan Petani</t>
  </si>
  <si>
    <t>DINAS PERKEBUNAN DAN PETERNAKAN</t>
  </si>
  <si>
    <t>Program Peningkatan Ketahan Pangan</t>
  </si>
  <si>
    <t>Penyediaan Tenaga Penyuluh Pertanian</t>
  </si>
  <si>
    <t>Program Peningkatan Penerapan Tehnologi Pertanian/Perkebunan</t>
  </si>
  <si>
    <t>Pelatihan dan Bimbingan Pengoperasian Tehnologi Pertanian/Perkebunan Tepat Guna</t>
  </si>
  <si>
    <t>Penyediaan Sarana Produksi Pertanian/Perkebunan</t>
  </si>
  <si>
    <t>Program PENINGKATAN PRODUKSI HASIL PETERNAKAN</t>
  </si>
  <si>
    <t>Pembangunan Sarana &amp; Prasarana Perbibitan Ternak</t>
  </si>
  <si>
    <t>Pendistribusian Bibit Ternak Kepada Masyarakat</t>
  </si>
  <si>
    <t>Pembibitan dan Perawatan Ternak Spesifik Papua</t>
  </si>
  <si>
    <t>Pelatihan dan Bimbingan Pengoperasian Teknologi Tepat Guna</t>
  </si>
  <si>
    <t>Program Peningkatan Sumber Daya Pertanian/Perkebunan</t>
  </si>
  <si>
    <t>Peningkatan Sarana dan Prasarana Perkebunan</t>
  </si>
  <si>
    <t>DINAS KETAHANAN PANGAN</t>
  </si>
  <si>
    <t>Program Peningkatan Ketahanan Pangan Pertanian/Perkebunan</t>
  </si>
  <si>
    <t>Penanganan Daerah Rawan Pangan</t>
  </si>
  <si>
    <t>Pemantauan dan Analisis Harga Pangan Pokok</t>
  </si>
  <si>
    <t>Pengakearagaman Pangan Spesifik Pangan Lokal</t>
  </si>
  <si>
    <t>Pemanfaatan Pekarangan Oleh Kelompok Wanita Tani Orang Asli Papua</t>
  </si>
  <si>
    <t>Pengembangan Teknologi Tepat Guna Sbg Upaya Mendukung Peningkatan Tanaman Pangan dan Hortikultura</t>
  </si>
  <si>
    <t>Penyuluhan Sumber Pangan Sebagai Spesifik Lokal</t>
  </si>
  <si>
    <t>Pengembangan Lumbung/Cadangan Pangan Masyarakat Spesifik Lokal</t>
  </si>
  <si>
    <t>Pengembangan Komoditas Unggulan Taman Pangan Spesifik</t>
  </si>
  <si>
    <t>Peningkatan Produksi dan Produktifitas Tanaman Pangan dan Horikultura</t>
  </si>
  <si>
    <t>DINAS PERINDUSTRAIAN DAN PERDAGANGAN</t>
  </si>
  <si>
    <t>Program PENGEMBANGAN INDUSTRI KECIL DAN MENENGAH</t>
  </si>
  <si>
    <t>Fasilitasi bagi Industri Kecil &amp; Menengah terhadap Pemanfaatan Sumber Daya</t>
  </si>
  <si>
    <t>Pembinaan Industri Kecil dan Menengah dalam Memperkuat Jaringan Klaster</t>
  </si>
  <si>
    <t>Program PENINGKATAN KEMAMPUAN TEKNOLOGI INDUSTRI</t>
  </si>
  <si>
    <t>Pembinaan Kemampuan Teknologi Industri</t>
  </si>
  <si>
    <t>Pengembangan dan Pelayanan Teknologi Industri</t>
  </si>
  <si>
    <t>Pembinaan Manajemen Usaha</t>
  </si>
  <si>
    <t>Pemberdayaan Usaha Ekonomi Masyarkat Adat Asli Papua di Sektor Primer</t>
  </si>
  <si>
    <t>Peningkatan Kualitas SDM Pelaku Usaha Mini Mikro, Mikro dan Kecil</t>
  </si>
  <si>
    <t xml:space="preserve">Akses Terhadap Sumber Daya Ekonomi </t>
  </si>
  <si>
    <t>DINAS KOPERASI DAN UMKM</t>
  </si>
  <si>
    <t>Program PENGEMBANGAN KEWIRAUSAHAAN DAN KEUNGGULAN KOMPETITIF UKM</t>
  </si>
  <si>
    <t>Peningkatan Kualitas Manajemen UKM</t>
  </si>
  <si>
    <t>Fasilitas Dukungan Pemodalan dan Penjaminan Usaha</t>
  </si>
  <si>
    <t>Pengembangan UMKM Pengelola SDA Lokal</t>
  </si>
  <si>
    <t>Penyelenggaraan Pelatihan Kewirausahaan</t>
  </si>
  <si>
    <t>Peningkatan Kualitas Pelayanan dan Pemenuhan Standart / Ketentuan Pengelolaan Koperasi</t>
  </si>
  <si>
    <t>Pemberian Bantuan Fasilitas dan Permodalan</t>
  </si>
  <si>
    <t>Bantuan Pemasaran Hasil Produksi</t>
  </si>
  <si>
    <t>Peningkatan Ketrampilan Usaha</t>
  </si>
  <si>
    <t>Pemberdayaan Kewirausahaan Kelompok Pengusaha OAP Produk Lokal</t>
  </si>
  <si>
    <t>DINAS TENAGA KERJA &amp; TRANSMIGRASI</t>
  </si>
  <si>
    <t>Program PENINGKATAN KUALITAS DAN PRODUKTIFITAS TENAGA KERJA</t>
  </si>
  <si>
    <t>Pendidikan dan Pelatihan Ketrampilan Bagi Pencari Kerja OAP</t>
  </si>
  <si>
    <t>DINAS SOSIAL</t>
  </si>
  <si>
    <t>Program Pengembangan Perumahan Rakyat dan Penyediaan Air Bersih</t>
  </si>
  <si>
    <t>Pembangunan Rumah Layak Huni Bagi Masrakat Asli Papua</t>
  </si>
  <si>
    <t>Fasilitasi dan Stimulasi Pembangunan Perumahan Masyarakat Kurang  Mampu</t>
  </si>
  <si>
    <t>Program Pemberdayaan Fakir Miskin, Komunitas Adat Terpencil dan Penyadang Masalah Kesejahteraan SOSIAL Lainnya</t>
  </si>
  <si>
    <t>Pelatihan Ketrampilan Berusaha Bagi Keluarga Miskin OAP</t>
  </si>
  <si>
    <t>Program Pembinaan Anak Terlantar</t>
  </si>
  <si>
    <t>Pelatihan Ketrampilan dan Praktek Belajar Kerja Bagi Anak Terlantar</t>
  </si>
  <si>
    <t>DINAS PEMBERDAYAAN PEREMPUAN DAN PERLINDUNGAN ANAK</t>
  </si>
  <si>
    <t>Program PENINGKATAN PERAN SERTA DAN KESETARAAN JENDER DALAM PEMBANGUNAN</t>
  </si>
  <si>
    <t>Bimbingan Manajemen Usaha bagi Perempuan Dalam Mengelola Usaha</t>
  </si>
  <si>
    <t>DINAS KEBUDAYAAN PARIWISATA</t>
  </si>
  <si>
    <t>Pendampingan Bagi Pelaku Usaha Ekonomi Masyarakat OAP sesuai Dengan Karakteristik Sosial Budaya Setempat</t>
  </si>
  <si>
    <t>DINAS KEPENDUDUKAN DAN PENCATATAN SIPIL</t>
  </si>
  <si>
    <t>Implementasi Sistem Aadministrasi Kependudukan OAP</t>
  </si>
  <si>
    <t>Urusan INFRASTRUKTUR</t>
  </si>
  <si>
    <t>DINAS PEKERJAAN UMUM DAN PENATAAN RUANG</t>
  </si>
  <si>
    <t>Pembangunan Jaringan Air Bersih/Air Minum</t>
  </si>
  <si>
    <t>DINAS PERTANAHAN, PERUMAHAN DAN KAWASAN PEMUKIMAN</t>
  </si>
  <si>
    <t>Program PENGEMBANGAN PERUMAHAN</t>
  </si>
  <si>
    <t>Pembangunan Sarana dan Prasarana Rumah Sederhana Sehat Type 45M2 dan 70</t>
  </si>
  <si>
    <t>Program PEMBINAAN PENGEMBANGAN BIDANG KETENAGA LISTRIKAN</t>
  </si>
  <si>
    <t>Pengadaan dan Pemasangan PLTS (Solar Cell)</t>
  </si>
  <si>
    <t>DINAS KOMUNIKASI DAN INFORMATIKA</t>
  </si>
  <si>
    <t>Program Komunikasi dan Informasi</t>
  </si>
  <si>
    <t>Operasional BTS</t>
  </si>
  <si>
    <t>URUSAN AFIRMASI</t>
  </si>
  <si>
    <t>BADAN PENGELOLA KEUANGAN DAN ASET DAERAH</t>
  </si>
  <si>
    <t>Program BELANJA HIBAH KEPADA KELOMPOK /ANGGOTA MASYARAKAT</t>
  </si>
  <si>
    <t>Belanja Hibah Dana BOS Ke SD Swasta</t>
  </si>
  <si>
    <t>Belanja Hibah Dana BOS Ke SMP Swasta</t>
  </si>
  <si>
    <t>Belanja Hibah Dana BOS Ke TK Swasta</t>
  </si>
  <si>
    <t>Belanja Bantuan Pendidikan</t>
  </si>
  <si>
    <t>Belanja Hibah Lembaga Keagamaan</t>
  </si>
  <si>
    <t>Belanja Hibah Lembaga Masyarakat Adat</t>
  </si>
  <si>
    <t>Belanja Hibah Perempuan Papua</t>
  </si>
  <si>
    <t>URUSAN PERENCANAAN/PENGAWASAN/MONITORING/EVALUASI DAN PELAPORAN</t>
  </si>
  <si>
    <t>BADAN PERENCANAAN PEMBANGUNAN DAERAH</t>
  </si>
  <si>
    <t>Program PERENCANAAN PEMBANGUNAN DAERAH</t>
  </si>
  <si>
    <t>Monitoring Evaluasi dan Pelaporan Pelaksanaan Rencana Pembangunan Daerah</t>
  </si>
  <si>
    <t>Penyusunan Rencana URD dan RD Otsus</t>
  </si>
  <si>
    <t>INSPEKTORAT</t>
  </si>
  <si>
    <t>Program Peningkatan Sistem Pengawasan Internal dan Pengendalian Pelaksanaan OTSUS</t>
  </si>
  <si>
    <t>Pelaksanaan Pengawasan Dana OTSUS Secara Berkala</t>
  </si>
  <si>
    <t>4</t>
  </si>
  <si>
    <t>KABUPATEN NABIRE</t>
  </si>
  <si>
    <t>Urusan Pendidikan</t>
  </si>
  <si>
    <t>Penyelenggaraan PAUD Non Formal dan Forrmal</t>
  </si>
  <si>
    <t>Pelatihan kompetensi tenaga pendidik dan kependidikan</t>
  </si>
  <si>
    <t>Penyediaan intensif Guru atau Guru Pendamping</t>
  </si>
  <si>
    <t>Pengadan Bahan Habis Pakai untuk penyediaan pendukung pembelajaran</t>
  </si>
  <si>
    <t>Pengadaan makanan tambahan siswa berbahan lokal sesuai dengan usia tumbuh kembang anak</t>
  </si>
  <si>
    <t>Pembangunan Tempat ibadah, perpustakaan, UKS, Kamar mandi, jamban dan jaringan air bersih dengan pipa atau bak penampungan air hujan sisesuaikan dengan kondisi lingkungan</t>
  </si>
  <si>
    <t>Pengadaan meubelair sekolah (Siswa, Guru, Perpustakaan )</t>
  </si>
  <si>
    <t>Penambahan ruang kelas sekolah Berbasis Sentra Belajar</t>
  </si>
  <si>
    <t>Pengadaan Biaya Operasional Sekolah Kampung terpadu</t>
  </si>
  <si>
    <t>Penyediaan tunjangan khusus guru di daerah terpencil dan terisolir</t>
  </si>
  <si>
    <t>Pelatihan kompetensi dan Kependidikan, termasuk Life Skill Pencegahan HIV/AIDS (OTSUS)</t>
  </si>
  <si>
    <t>Pelatihan kompetensi khusus bagi tenaga pendidik dan kependidikan, termasuk life skill Pencegahan HIV/AIDS</t>
  </si>
  <si>
    <t>Pembangunan tempat ibadah, Perpustakaan UKS, kamar Mandi, Jamban dan Jaringan Air Bersih dengan pipa atau bak penampungan air hujan disesuaikan dengan kondisi lingkungan</t>
  </si>
  <si>
    <t>Pengadaan meubelairdan perlengkapan pendukung untuk ruang kelas ruangb guru, UKS, Perpustakaan, Asrama</t>
  </si>
  <si>
    <t>Rehabilitasi Ruang Kelas SD Reguler atau SD-SMP Satu Atap</t>
  </si>
  <si>
    <t>Pembangunan rumah guru dan kepala sekolah SD reguler</t>
  </si>
  <si>
    <t>Pengadaan Buku Penunjang dam pengayaan siswa</t>
  </si>
  <si>
    <t>Penyediaan biaya operasional kegiatan ekstrakurikuler</t>
  </si>
  <si>
    <t>Penyediaan Biaya Operasional Kegiatan Ekstrakurikuler</t>
  </si>
  <si>
    <t>Penyediaan biaya operasional kegiatan ekstra kurikuler</t>
  </si>
  <si>
    <t>Penyediaan Tunjangan khusus guru di daerah terpencil dan terisolir</t>
  </si>
  <si>
    <t>Pembangunan Laboratorium IPA dan Perlengkapannya</t>
  </si>
  <si>
    <t>Pelatihan Kompetensi khusus bagi tenaga pendidik dan kependidikan, termasuk life skill pencegahaqn HIV/AID</t>
  </si>
  <si>
    <t>Pelatihan kompetensi khusus bagi tenaga pendidik dan kependidikan termasuk life skill Pencegahan HIV/AIDS</t>
  </si>
  <si>
    <t>Penyediaan makanan dan minum siswa/siswi SMP berasrama berbasis komoditas lokal</t>
  </si>
  <si>
    <t>Pembangunan tempat ibadah, Perpustakaan UKS, Kamar Mandi, Jamban dan Jaringan Air Bersih dengan Pipa atau bak penampung air hujan disesuaikan dengan kondisi lingkungan</t>
  </si>
  <si>
    <t>Pembangunan Tempat Ibadah, Perpustakaan, UKS, Kamar Mandi, Jamban dan Jaringan Air Bersih dengan Pipa atau Bak penampung air hujan disesuaikan dengan kondisi lingkungan</t>
  </si>
  <si>
    <t>Penambahan  Ruang Kelas SMP Reguler</t>
  </si>
  <si>
    <t>Pengadaan Meubelair dan perlengkapan pendukung untuk ruang kelas, ruang guru, UKS,Perpustakaan, Asrama</t>
  </si>
  <si>
    <t>Pengadan Komputer dan ITC untuk pembelajaran Interaktif dan pangkalan data</t>
  </si>
  <si>
    <t>Biaya Operasional pendukung kegiatan ekstrakurikuler</t>
  </si>
  <si>
    <t>Biaya operasional pendukung kegiatan ekstra kurikuler</t>
  </si>
  <si>
    <t>Biaya Operasional Pendukung Kegiatan ekstrakurikuler</t>
  </si>
  <si>
    <t>Pengadaan makan minum Siswa-siswi SMA berasrama</t>
  </si>
  <si>
    <t>Pembangunan Asrama siswa/siswi  SMA Reguler berasrama</t>
  </si>
  <si>
    <t>Biaya operasional pendukung kegiatan ekstrakurikuler</t>
  </si>
  <si>
    <t>Pembangunan Asrama Siswa/siswi SMK Berasrama</t>
  </si>
  <si>
    <t>Pengadaan Makan dan minum siswa/siswi SMK  berasrama</t>
  </si>
  <si>
    <t>Pembangunan laboratorium dan ruang praktikum sekolah (laboratorium bahasa, komputer, IPA, IPS, dan lain-lain)</t>
  </si>
  <si>
    <t>Penyelenggaraan pendidikan non formal keaksaraan dasar</t>
  </si>
  <si>
    <t>Penyediaan biaya operasional bagi lembaga penyelenggara KF</t>
  </si>
  <si>
    <t>Penyediaan biaya operasional lembaga KF</t>
  </si>
  <si>
    <t>Pengembangan model keaksaraan  melalui pelatihan</t>
  </si>
  <si>
    <t>Pendidikan Tinggi</t>
  </si>
  <si>
    <t>Dukungan beasiswa S1 untuk siswa/siswi SMA/SMK secara terbatas</t>
  </si>
  <si>
    <t>Urusan Kesehatan</t>
  </si>
  <si>
    <t>Peningkatan Kualitas Tenaga Kesehatan Puskesmas dan Jaringannya</t>
  </si>
  <si>
    <t>Pengadaaan obat dan perbekalan kesehatan (Otsus)</t>
  </si>
  <si>
    <t>Peningkatan pemerataan obat dan perbekalan kesehatan (Otsus)</t>
  </si>
  <si>
    <t>Penanggulangan KLB, Krisis Masalah Kesehatan termasuk  korban bencana</t>
  </si>
  <si>
    <t>Pembinaan Akreditasi Puskesmas ( Otsus )</t>
  </si>
  <si>
    <t>Peningkatan Kualitas Pelayanan ( Otsus )</t>
  </si>
  <si>
    <t>Pengembangan dan Penerapan Pengobatan Tradisional</t>
  </si>
  <si>
    <t>Penyuluhan Langsung Kepada Masyarakat</t>
  </si>
  <si>
    <t>Pengembangan Upaya Kesehatan Berbasis Masyarakat ( UKBM )</t>
  </si>
  <si>
    <t>KIE Pemanfaatan Menu Seimbang dan Makanan Lokal Setempat.</t>
  </si>
  <si>
    <t>Pelacakan dan Penanganan Kasus Gizi Buruk di Masyarakat</t>
  </si>
  <si>
    <t>Pengembangan Lingkungan sehat</t>
  </si>
  <si>
    <t>Pengawasan Kwalitas Air di Masyarakat</t>
  </si>
  <si>
    <t>Perbaikan Lingkungan Pasca Bencana/KLB.</t>
  </si>
  <si>
    <t>Pencegahan dan Pemberantasan IMS dan HIV/ AIDS</t>
  </si>
  <si>
    <t>Jaminan Ketersediaan Vaksin dan Tempat Penyimpanan Vaksin</t>
  </si>
  <si>
    <t>Penanggulangan Penyakit TBC, Malaria, Filariasis, Frambosia, Kusta, Taineasis dan Penyakit Tidak Menular</t>
  </si>
  <si>
    <t>Program pengadaan, peningkatan dan perbaikan sarana dan prasarana puskesmas/puskesmas pembantu dan jaringannya</t>
  </si>
  <si>
    <t>Pengadaaan puskesmas perairan (Otsus)</t>
  </si>
  <si>
    <t>Pengadaaan sarana dan prasarana puskesmas (Otsus)</t>
  </si>
  <si>
    <t>Pemeliharaan rutin/berkala sarana dan prasarana posyandu (Otsus)</t>
  </si>
  <si>
    <t>Pengadaan Peralatan  Kesehatan ( Alkes ) Puskesmas (Otsus)</t>
  </si>
  <si>
    <t>Imunisasi bagi anak balita</t>
  </si>
  <si>
    <t>Bimbingan Teknis  Pelayanan Kesehatan Ibu  dan Anak</t>
  </si>
  <si>
    <t>Program pengadaan. peningkatan sarana dan prasarana rumah sakit/rumah sakit jiwa/rumah sakit paru-paru/rumah sakit mata</t>
  </si>
  <si>
    <t>Penyediaan Makanan dan Minuman Pasien (OTSUS)</t>
  </si>
  <si>
    <t>Urusan Pekerjaan Umum dan Penataan Ruang</t>
  </si>
  <si>
    <t>Program pembangunan infrastruktur pedesaan</t>
  </si>
  <si>
    <t>Pembangunan jalan dan jembatan pedesaan</t>
  </si>
  <si>
    <t>Pembangunan sarana dan prasarana air bersih pedesaaan</t>
  </si>
  <si>
    <t>Pembangunan Energi Skala Kecil</t>
  </si>
  <si>
    <t>Urusan Perumahan Rakyat dan Kawasan Permukiman</t>
  </si>
  <si>
    <t>Pembangunan rumah sederhana type 45 M2</t>
  </si>
  <si>
    <t>Urusan Sosial</t>
  </si>
  <si>
    <t>Program Pemberdayaan Fakir Miskin,Komunitas Adat Terpencil ( KAT ) dan Penyandan Masalah Kesejahteraan Sosial ( PMKS ) Lainnya</t>
  </si>
  <si>
    <t>Pelatihan Keterampilan Berusaha Bagi Keluarga Miskin</t>
  </si>
  <si>
    <t>Bantuan Fasilitas dan Permodalan Bagi Fakir Miskin</t>
  </si>
  <si>
    <t>Fasilitas Manajemen Usaha Bagi Keluarga Miskin</t>
  </si>
  <si>
    <t>Program Pembina Anak Terlantar</t>
  </si>
  <si>
    <t>Pelatihan Keterampilan dan Praktek Belajar Kerja Bagi Anak Terlantar</t>
  </si>
  <si>
    <t>Urusan Ketenagakerjaan</t>
  </si>
  <si>
    <t>Program peningkatan kualitas dan produktivitas tenaga kerja</t>
  </si>
  <si>
    <t>Pendidikan dan pelatihan keterampilan bagi pencari kerja ( BLK BEKASI )</t>
  </si>
  <si>
    <t>Pendidikan dan pelatihan keterampilan bagi pencari kerja ( Distrik Yaur )</t>
  </si>
  <si>
    <t>Pendidikan dan Pelatihan ketrampilan bagi pencari kerja ( Pelatihan mebeleur rotan tingkat lanjutan berbasis wirausaha di Gorontalo )</t>
  </si>
  <si>
    <t>Urusan Pemberdayaan Perempuan dan Perlindungan Anak</t>
  </si>
  <si>
    <t>Dinas Pemberdayaan Perempuan dan Perlindungan Anak</t>
  </si>
  <si>
    <t>kegatan pelatihan ketrampilan perempuan OAP dalam membangun keluarga sejahtera</t>
  </si>
  <si>
    <t>bimbingan manajemen usaha perempuan papua</t>
  </si>
  <si>
    <t>Pameran pembangunan Perempuan Papua (bantuan pemasaran hasil produksi )</t>
  </si>
  <si>
    <t>Pemberdayaan lembaga yang berbasis gender</t>
  </si>
  <si>
    <t>whorkshop peningkatan peran perempuan OAP dalam Pengambilan Keputusan</t>
  </si>
  <si>
    <t>Urusan Pangan</t>
  </si>
  <si>
    <t>Peningkatan Ketahanan Pangan</t>
  </si>
  <si>
    <t>Penanganan Daerah Rawan pangan</t>
  </si>
  <si>
    <t>Pengembangan Kawasan Mandiri Pangan</t>
  </si>
  <si>
    <t>Kegiatan Pengembangan Model Distribusi Pangan Yang Efisien</t>
  </si>
  <si>
    <t>Pengembangan Desa Mandiri Pangan Reguler (Desa 2006-2012)</t>
  </si>
  <si>
    <t>Pengembangan Olahan Pangan Lokal</t>
  </si>
  <si>
    <t>Pemberian Makanan Tambahan Anak Sekolah (PMTAS)</t>
  </si>
  <si>
    <t>Urusan Administrasi Kependudukan dan Capil</t>
  </si>
  <si>
    <t>Dinas Kependudukan dan Catatan Sipil</t>
  </si>
  <si>
    <t>Penataan Administrasi Kependudukan</t>
  </si>
  <si>
    <t>Pengolahan Database Orang Asli Papua (OAP) di Kabupaten Nabire Tahun 2018</t>
  </si>
  <si>
    <t>Pelayanan Pemutihan Akta Pencatatan Sipil Tahun 2011 s/d 2012 di Kabupaten Nabire  ( 10 Distrik )</t>
  </si>
  <si>
    <t>Urusan Pemberdayaan Masyarkat Desa</t>
  </si>
  <si>
    <t>Dinas Pemberdayaan Masyarakat dan Pemerintahan Kampung</t>
  </si>
  <si>
    <t>Program Peningkatan Keberdayaan Masyarakat Pedesaan</t>
  </si>
  <si>
    <t>Monitoring, Evaluasi dan Pelaporan Dana Prospek</t>
  </si>
  <si>
    <t>Pelatihan Pendampingan Dana Prospek</t>
  </si>
  <si>
    <t>Urusan Pengendalian Penduduk dan Keluarga Berencana</t>
  </si>
  <si>
    <t>Dinas Pengendalian Penduduk dan Keluarga Berencana</t>
  </si>
  <si>
    <t>Program Pelayanan Kontrasepsi</t>
  </si>
  <si>
    <t>Pengadaan alat kontrasepsi</t>
  </si>
  <si>
    <t>Program Pembinaan Peran Serta Masyarakat dalam Pelayanan KB/KB yang Mandiri</t>
  </si>
  <si>
    <t>Pelatihan Pengelola Kelompok UPPKS Yang Profesional</t>
  </si>
  <si>
    <t>Peningkatan SDM/Pelatihan Tenaga Pengelola Kelompok Tri Bina (BKB, BKR, BKL)</t>
  </si>
  <si>
    <t>Program Pengembangan Pusat Pelayanan Informasi dan Konseling KRR</t>
  </si>
  <si>
    <t>Fasilitasi forum pelayanan KKR bagi kelompok remaja dan kelompok sebaya di luar sekolah</t>
  </si>
  <si>
    <t>Advokasi dan KIE tentang Kesehatan Reproduksi Remaja</t>
  </si>
  <si>
    <t>Urusan Perhubungan</t>
  </si>
  <si>
    <t>Program Pembangunan Prasarana dan Fasilitas Perhubungan</t>
  </si>
  <si>
    <t>Pembangunan lapangan terbang perintis</t>
  </si>
  <si>
    <t>Pembangunan dermaga sungai/danau. tambatan perahu</t>
  </si>
  <si>
    <t>Program Peningkatan Pelayanan Angkutan</t>
  </si>
  <si>
    <t>Kegiatan penciptaan pelayanan cepat. tepat. murah dan mudah</t>
  </si>
  <si>
    <t>Pengembangan sarana dan prasarana pelayanan jasa</t>
  </si>
  <si>
    <t>Urusan Koperasi, Usaha Kecil dan Menengah</t>
  </si>
  <si>
    <t>Pembinaan dan Pendamping Pelaku Usaha Ekonomi Kerakyatan</t>
  </si>
  <si>
    <t>Peningkatan Kualitas SDM Pelaku Usaha Mini Mikro, Mikro dan Kecil (Pelatihan Pengelolaan Aneka Kripik dan Buah)</t>
  </si>
  <si>
    <t>Pelatihan Pembukuan Sedeerhana dan Bantuan Modal Usaha Bagi Koperasi</t>
  </si>
  <si>
    <t>Pelatihan Kewirausahaan Calon Wirausaha Baru dan Pelaku UKM</t>
  </si>
  <si>
    <t>Urusan Kepemudaan dan Olahraga</t>
  </si>
  <si>
    <t>Dinas Kepemudaan dan Olahraga</t>
  </si>
  <si>
    <t>Pengadaan Alat Olahraga</t>
  </si>
  <si>
    <t>Pembibitan dan Pembinaan Olahragawan Berbakat ( Sepak Bola Usia Dini 10 - 13 Tahun )</t>
  </si>
  <si>
    <t>Program Peningkatan Kualitas dan Produktivitas Tenaga</t>
  </si>
  <si>
    <t>Pelatihan Kewirausahaan Penyiapan Tenaga Kerja Siap</t>
  </si>
  <si>
    <t>Urusan Kebudayaan</t>
  </si>
  <si>
    <t>Pelestarian dan aktualisasi adat budaya daerah</t>
  </si>
  <si>
    <t>Program Pengembangan kemitraan pengembangan sumber daya manusia dan profesionalisme bidang pariwisata ( hospitaly/pelatihan sadar wisata )</t>
  </si>
  <si>
    <t>Urusan Kelautan dan Perikanan</t>
  </si>
  <si>
    <t>Pembinaan kelompok ekonomi masyarakat pesisir</t>
  </si>
  <si>
    <t>Pendampingan pada kelompok nelayan perikanan tangkap Orang Asli Papua (OAP)</t>
  </si>
  <si>
    <t>Program pengembangan kawasan budidaya laut, air payau dan air tawar</t>
  </si>
  <si>
    <t>Pengembangan/Pembangunan dan Rehabilitasi Sarana Budidaya Air Tawar/Air Payau</t>
  </si>
  <si>
    <t>Urusan Pertanian</t>
  </si>
  <si>
    <t>Peningkatan Produksi dan Produktivitas Tanaman Pangan dan Holtikultura</t>
  </si>
  <si>
    <t>Penyediaan Sarana Produksi Hortikultura</t>
  </si>
  <si>
    <t>Penyediaan Sarana Produksi Tanaman Pangan</t>
  </si>
  <si>
    <t>Dinas Peternakan</t>
  </si>
  <si>
    <t>Peningkatan Produksi Pertanian/Perkebunan</t>
  </si>
  <si>
    <t>Penyediaan Sarana dan Prasarana Pembibitan Ternak</t>
  </si>
  <si>
    <t>Pengembangan Agribisnis Peternakan</t>
  </si>
  <si>
    <t>Urusan Perdagangan</t>
  </si>
  <si>
    <t>Dinas Perdagangan</t>
  </si>
  <si>
    <t>Program Peningkatan Efisiensi Perdagangan Dalam Negeri</t>
  </si>
  <si>
    <t>Pasar Murah</t>
  </si>
  <si>
    <t>Program pembinaan pedagang kaki lima dan asongan</t>
  </si>
  <si>
    <t>Kegiatan penataan tempat berusaha bagi pedagang kakilima dan asongan</t>
  </si>
  <si>
    <t>Urusan Industri</t>
  </si>
  <si>
    <t>Dinas Perindustrian</t>
  </si>
  <si>
    <t>Peningkatan Kapasitas IPTEK dan Sistem Produksi</t>
  </si>
  <si>
    <t>Pelatihan dan bantuan Peralatan Standarisasi Mutu Produk Industri Meubelair</t>
  </si>
  <si>
    <t>Pengembangan SDM Pelaku Usaha Industri ( Pelatihan Standarisasi Mutu Kemasan Produk)</t>
  </si>
  <si>
    <t>Pengembangan Industri Kecil dan Menengah</t>
  </si>
  <si>
    <t>Pelatihan dan bantuan Peralatan Industri Pengolahan Aneka Keripik</t>
  </si>
  <si>
    <t>Pelatihan Dasar Industri Otomotif</t>
  </si>
  <si>
    <t>Urusan Pengawasan</t>
  </si>
  <si>
    <t>Program Peningkatan Sistem Pengawasan Inernal dan Pengendalian Pelaksanaan KDH</t>
  </si>
  <si>
    <t>Pelaksanaan Monitoring Pembangunan Bidang Pendidikan, Bidang Kesehatan, Bidang Pemberdayaan Ekonomi Kerakyatan (OTSUS)</t>
  </si>
  <si>
    <t>Urusan Perencanaan</t>
  </si>
  <si>
    <t>Badan Perencanaan Pembangunan, Penelitian dan Pengembangan Daerah</t>
  </si>
  <si>
    <t>Program Kerjasama Pembangunan</t>
  </si>
  <si>
    <t>Monitoring, evaluasi dan pelaporan Otsus Bidang Prassar</t>
  </si>
  <si>
    <t>Penyusunan URD dan RD Dana Otonomi Khusus</t>
  </si>
  <si>
    <t>Monitoring, evaluasi dan pelaporan pelaksanaan rencana pembangunan daerah bidang sosial budaya</t>
  </si>
  <si>
    <t>Evaluasi dan Pelaporan Kegiatan Pembangunan Kabupaten Nabire</t>
  </si>
  <si>
    <t>Monitoring dan Pengendalian Kegiatan Pembangunan Daerah</t>
  </si>
  <si>
    <t>Urusan Pemerintah Fungsi Penunjang</t>
  </si>
  <si>
    <t>Badan Pengelola Keuangan dan Aset Daerah( PPKD )</t>
  </si>
  <si>
    <t>BELANJA TIDAK LANGSUNG (PPKD)</t>
  </si>
  <si>
    <t>Belanja Tidak Langsung - Bantuan Langsung ke Masyarakat - Pendidikan (OTSUS)</t>
  </si>
  <si>
    <t>Belanja Tidak Langsung - Bantuan Langsung ke Masyarakat - Kesehatan (OTSUS)</t>
  </si>
  <si>
    <t>Belanja Tidak Langsung - Bantuan Langsung ke Masyarakat - Keagamaan (OTSUS)</t>
  </si>
  <si>
    <t>Belanja Tidak Langsung - Bantuan Langsung - Kelembagaan Adat (Otsus)</t>
  </si>
  <si>
    <t>5</t>
  </si>
  <si>
    <t>KABUPATEN KEPULAUAN YAPEN</t>
  </si>
  <si>
    <t>DINAS  PENDIDIKAN</t>
  </si>
  <si>
    <t>Pembangunan gedung sekolah (OTSUS)</t>
  </si>
  <si>
    <t>Pengadaan alat praktik dan peraga siswa (OTSUS)</t>
  </si>
  <si>
    <t>Pengadaan mebeluer sekolah (OTSUS)</t>
  </si>
  <si>
    <t>Rehabilitasi sedang/berat ruang kelas sekolah (OTSUS)</t>
  </si>
  <si>
    <t>Pelatihan kompetensi tenaga pendidik (OTSUS)</t>
  </si>
  <si>
    <t>Penyelenggaraan Pendidikan Anak Usia Dini (OTSUS)</t>
  </si>
  <si>
    <t>Pengembangan sekolah Untuk SD/MI/SDLB dan SMP/MTS (OTSUS)</t>
  </si>
  <si>
    <t>Penyelenggaraan Paket A Setara SD</t>
  </si>
  <si>
    <t>Pembinaaan minat, bakat, dan kreativitas siswa SD / MI (OTSUS)</t>
  </si>
  <si>
    <t>Penyediaan Operasional asrama sekolah (OTSUS)</t>
  </si>
  <si>
    <t>Pembinaaan minat, bakat, dan kreativitas siswa SMP / MTs (OTSUS)</t>
  </si>
  <si>
    <t>Penyediaan Biaya Operasional Asrama Sekolah (OTSUS)</t>
  </si>
  <si>
    <t>Pembinaan Bakat, minat dan Kreativitas siswa</t>
  </si>
  <si>
    <t>Pelaksanaan Seleksi Pendidikan SMA Taruna (OTSUS)</t>
  </si>
  <si>
    <t>Pendidikan Sekolah Genius (OTSUS)</t>
  </si>
  <si>
    <t>Seleksi Calon Siswa Afimasi Menengah-ADEM (OTSUS)</t>
  </si>
  <si>
    <t>Insentif Tutor Paket C Setara SMA (OTSUS)</t>
  </si>
  <si>
    <t>Pendidikan Calon Guru (OTSUS)</t>
  </si>
  <si>
    <t>Program Pendidikan Tinggi</t>
  </si>
  <si>
    <t>Seleksi dan Biaya Pendidikan Penerimaan Mahasiswa Baru (OTSUS)</t>
  </si>
  <si>
    <t>BADAN  PENGELOLAAN KEUANGAN  DAN ASET DAERAH</t>
  </si>
  <si>
    <t>Belanja Hibah Kepada Sekolah</t>
  </si>
  <si>
    <t>BOSDA TK SWASTA (OTSUS)</t>
  </si>
  <si>
    <t>BOSDA SD SWASTA (OTSUS)</t>
  </si>
  <si>
    <t>BOSDA SMP SWASTA (OTSUS)</t>
  </si>
  <si>
    <t>PRAKERIN SMK (OTSUS)</t>
  </si>
  <si>
    <t>Dukungan beasiswa S1 untuk siswa/siswi SMA SMA OAP berprestasi secara terbatas untuk jurusan yang sangat dibutuhkan dalam pembangunan daerah</t>
  </si>
  <si>
    <t>DINAS  KESEHATAN</t>
  </si>
  <si>
    <t>Peningkatan pemerataan obat dan perbekalan kesehatan (OTSUS)</t>
  </si>
  <si>
    <t>Pengadaaan Obat dan Perbekalan Kesehatan (OTSUS)</t>
  </si>
  <si>
    <t>Pelayanan kesehatan penduduk miskin di puskesmas jaringannya (OTSUS)</t>
  </si>
  <si>
    <t>Pelayanan Kesehatan Pantai / Terapung / BHC (OTSUS)</t>
  </si>
  <si>
    <t>Pemeliharaan dan pemulihan kesehatan (OTSUS)</t>
  </si>
  <si>
    <t>Rujukan Pasien (OTSUS)</t>
  </si>
  <si>
    <t>Program Pengawasan Obat dan Makanan</t>
  </si>
  <si>
    <t>Peningkatan pemberdayaan konsumen/masyarakat di bidang obat dan makanan (OTSUS)</t>
  </si>
  <si>
    <t>Pengembangan standarisasi tanaman obat bahan alam indonesia (OTSUS)</t>
  </si>
  <si>
    <t>Pembinaan / Revitalisasi Kampung Siaga (OTSUS)</t>
  </si>
  <si>
    <t>Peningkatan Pelayanan Usaha Kesehatan Sekolah / UKS (OTSUS)</t>
  </si>
  <si>
    <t>Penyuluhan masyarakat pola hidup sehat (OTSUS)</t>
  </si>
  <si>
    <t>Pemberdayaan masyarakat untuk pencapaian keluarga sadar gizi (OTSUS)</t>
  </si>
  <si>
    <t>Pengkajian pengembangan lingkungan sehat (OTSUS)</t>
  </si>
  <si>
    <t>Penyemprotan/fogging sarang nyamuk (OTSUS)</t>
  </si>
  <si>
    <t>Pelayanan vaksinasi bagi balita dan anak sekolah (OTSUS)</t>
  </si>
  <si>
    <t>Pelayanan pencegahan dan penanggulangan penyakit menular (OTSUS)</t>
  </si>
  <si>
    <t>Peningkatan imuniasasi (OTSUS)</t>
  </si>
  <si>
    <t>Peningkatan survellance Epidemiologi dan penanggulangan wabah (OTSUS)</t>
  </si>
  <si>
    <t>Peningkatan KIE Pencegahan &amp; Pemberantasan Penyakit (OTSUS)</t>
  </si>
  <si>
    <t>Evaluasi dan pengembangan standar pelayanan kesehatan (OTSUS)</t>
  </si>
  <si>
    <t>Program pengadaan, peningkatan dan perbaikan sarana dan prasarana puskesmas/ puskemas pembantu dan jaringannya</t>
  </si>
  <si>
    <t>Pengadaan sarana dan prasarana Puskesmas (OTSUS)</t>
  </si>
  <si>
    <t>Penyuluhan kesehatan bagi ibu hamil dari keluarga kurang mampu (OTSUS)</t>
  </si>
  <si>
    <t>Pertolongan persalinan bagi ibu dari keluarga kurang mampu (OTSUS)</t>
  </si>
  <si>
    <t>R S U D</t>
  </si>
  <si>
    <t>Peningkatan kesehatan masyarakat (OTSUS)</t>
  </si>
  <si>
    <t>Peningkatan pelayanan dan penanggulangan masalah kesehatan (OTSUS)</t>
  </si>
  <si>
    <t>DINAS KOPERASI USAHA KECIL DAN MENENGAH</t>
  </si>
  <si>
    <t>Pemberian fasilitasi pengamanan kawasan Usaha Kecil Menengah (OTSUS)</t>
  </si>
  <si>
    <t>BADAN PENGELOLAAN KEUANGAN DAN ASET DAERAH</t>
  </si>
  <si>
    <t>Belanja Hibah Lainnya</t>
  </si>
  <si>
    <t>Bantuan Modal Usaha Mama Papua (OTSUS)</t>
  </si>
  <si>
    <t>DINAS PERDAGANGAN</t>
  </si>
  <si>
    <t>Pembangunan dan Distribusi Perdagangan (Pasar Aroro Iroro Los C)</t>
  </si>
  <si>
    <t>Pembangunan Los-Los Jualan bagi mama Papua pada Bandara Kamanap</t>
  </si>
  <si>
    <t>DINAS PERINDUSTRIAN</t>
  </si>
  <si>
    <t>Program peningkatan kemampuan teknologi industri</t>
  </si>
  <si>
    <t>Pembinaan kemampuan teknologi industri (OTSUS)</t>
  </si>
  <si>
    <t>Program Pembinaan dan Pengembangan Bidang Pertambangan</t>
  </si>
  <si>
    <t>Bantuan Peralatan Penambangan Galian C (Otsus)</t>
  </si>
  <si>
    <t>Program peningkatan Ketahanan Pangan (Pertanian/Perkebunan)</t>
  </si>
  <si>
    <t>Peningkatan Mutu dan Keamanan Pangan (OTSUS)</t>
  </si>
  <si>
    <t>Pengembangan Pertanian Pada Lahan Kering (Budidaya Jagung) (OTSUS)</t>
  </si>
  <si>
    <t>Pemanfaatan Lahan Pekarangan Oleh Kelompok Wanita Tani OAP (OTSUS)</t>
  </si>
  <si>
    <t>Pengembangan Intensifikasi Padi, Palawija (OTSUS)</t>
  </si>
  <si>
    <t>Penanganan Daerah Rawan Pangan (OTSUS)</t>
  </si>
  <si>
    <t>Pengembangan Cadangan Pangan Daerah (OTSUS)</t>
  </si>
  <si>
    <t>Program Peningkatan Penerapan Teknologi Pertanian / Perkebunan</t>
  </si>
  <si>
    <t>Pengadaan Sarana dan Prasarana Teknologi Pertanian/Perkebunan Tepat Guna (OTSUS)</t>
  </si>
  <si>
    <t>Pendistribusian bibit ternak  kepada masyarakat (OTSUS)</t>
  </si>
  <si>
    <t>DINAS PERTANIAN</t>
  </si>
  <si>
    <t>Program Peningkatan Ketahan Pangan (pertanian/perkebunan)</t>
  </si>
  <si>
    <t>Pengembangan intensifikasi tanaman padi, palawija (OTSUS)</t>
  </si>
  <si>
    <t>Pengembangan pertanian pada lahan kering (OTSUS)</t>
  </si>
  <si>
    <t>Pengembangan Komoditas Unggulan Tanaman Pangan Spesifik Papua (OTSUS)</t>
  </si>
  <si>
    <t>Magang Petani Kopi (OTSUS)</t>
  </si>
  <si>
    <t>Pelatihan Mekanisasi Pertanian (OTSUS)</t>
  </si>
  <si>
    <t>Monitoring Evaluasi dan Pelaporan (Otsus)</t>
  </si>
  <si>
    <t>Pemeliharaan Kebun Benih Tanaman Kakao (OTSUS)</t>
  </si>
  <si>
    <t>Perluasan Komoditi Perkebunan (OTSUS)</t>
  </si>
  <si>
    <t>Perluasan Tanaman Kopi (OTSUS)</t>
  </si>
  <si>
    <t>Pemeliharaan kesehatan dan pencegahan penyakit menular ternak (OTSUS)</t>
  </si>
  <si>
    <t>Program pengembangan agribisnis</t>
  </si>
  <si>
    <t>Pengadaan Mesin Pengolah Hasil (OTSUS)</t>
  </si>
  <si>
    <t>DINAS PERIKANAN</t>
  </si>
  <si>
    <t>Magang Nelayan Penangkapan dan Budi Daya Ikan (OTSUS)</t>
  </si>
  <si>
    <t>Penyediaan Sarana Budidaya (OTSUS)</t>
  </si>
  <si>
    <t>Penyediaan Sarana Ikan Tangkap (OTSUS)</t>
  </si>
  <si>
    <t>Monitoring, Evaluasi dan Laporan Kegiatan (OTSUS)</t>
  </si>
  <si>
    <t>Program Pengembangan dan Pengelolaan Jaringan Irigasi, Rawa dan Jaringan Pengairan lainnya</t>
  </si>
  <si>
    <t>Pembangunan jaringan air bersih/air minum (OTSUS)</t>
  </si>
  <si>
    <t>Program rehabilitasi / pemeliharaan jalan dan jembataan</t>
  </si>
  <si>
    <t>Peningkatan Jalan Produksi Kontiunai</t>
  </si>
  <si>
    <t>Peningkatan Jalan Lingkungan Kampung Mariadei</t>
  </si>
  <si>
    <t>Program pembangunan Infrastruktur Pedesaan</t>
  </si>
  <si>
    <t>Pembangunan Saluran Drainase</t>
  </si>
  <si>
    <t>Penimbunan lokasi Perumahan Cina Tua</t>
  </si>
  <si>
    <t>DINAS PERUMAHAN RAKYAT DAN KAWASAN PEMUKIMAN</t>
  </si>
  <si>
    <t>Pembangunan sarana dan prasarana rumah sederhana sehat (OTSUS)</t>
  </si>
  <si>
    <t>DINAS PEMBERDAYAAN MASYRAKAT KAMPUNG</t>
  </si>
  <si>
    <t>Program peningkatan partisipasi masyarakat dalam membangun desa</t>
  </si>
  <si>
    <t>Pemeberian Stimulan Pembangunan Rumah Rakyat (OTSUS)</t>
  </si>
  <si>
    <t>Program Pembinaan dan Pengembangan Ketenagalistrikan</t>
  </si>
  <si>
    <t>Koordinasi Pengembangan Ketenagalistrikan (OTSUS)</t>
  </si>
  <si>
    <t>BAPPEDA</t>
  </si>
  <si>
    <t>Pembahasan Usulan Rencana Definitif OTSUS (OTSUS)</t>
  </si>
  <si>
    <t>Monitoring, Evaluasi, Pengendalian dan Pelaporan Pelaksanaan Rencana pembangunan daerah (OTSUS)</t>
  </si>
  <si>
    <t>MUSRENBANG OTSUS Kawasan Adat Tahun 2018 (OTSUS)</t>
  </si>
  <si>
    <t>Program Peningkatan Sistem Pengawasan Internal dan Pengendalian Pelaksanaan Kebijakan KDH</t>
  </si>
  <si>
    <t>Evaluasi Berkala Temuan Hasil Pengawasan (OTSUS)</t>
  </si>
  <si>
    <t>Pelaksanaan Pengawasan Internal secara Berkala (OTSUS)</t>
  </si>
  <si>
    <t>AFIRMASI</t>
  </si>
  <si>
    <t>Pengumpulan Data Angkatan Kerja Perempuan dan Data Anak (OTSUS)</t>
  </si>
  <si>
    <t>Workshop Peningkatan Peran Perempuan Asli Papua dalam Pengambilan Keputusan (OTSUS)</t>
  </si>
  <si>
    <t>Pelatihan Ketrampilan Bagi Wanita Penyandang Disabilitas (OTSUS)</t>
  </si>
  <si>
    <t>Pelatihan dan Peningkatan Ekonomi Perempuan Kepala Keluarga (OTSUS)</t>
  </si>
  <si>
    <t>DINAS PENGENDALIAN PENDUDUK DAN KELUARGA BERENCANA</t>
  </si>
  <si>
    <t>Penyediaan pelayanan KB dan Alat kontrasepsi bagi Keluarga Miskin (OTSUS)</t>
  </si>
  <si>
    <t>Program Kesehatan Reproduksi Remaja</t>
  </si>
  <si>
    <t>Advokasi dan KIE tentang Kesehatan Reproduksi Remaja (KRR) (OTSUS)</t>
  </si>
  <si>
    <t>Program promosi kesehatan ibu, bayi dan anak melalui kelompok kegiatan dimasyarakat</t>
  </si>
  <si>
    <t>Penyuluhan kesehatan ibu, bayi dan anak melalui kelompok dimasyarakat (OTSUS)</t>
  </si>
  <si>
    <t>Program peningkatan penanggulangan narkoba, PMS termasuk HIV/AIDS</t>
  </si>
  <si>
    <t>Penyuluhan penanggulangan narkoba, PMS termasuk HIV/AIDS (OTSUS)</t>
  </si>
  <si>
    <t>Program penyiapan tenaga pedamping kelompok bina keluarga</t>
  </si>
  <si>
    <t>Pelatihan tenaga pedamping kelompok bina keluarga di kecamatan (OTSUS)</t>
  </si>
  <si>
    <t>Belanja Hibah kepada Lembaga Keagamaan/Tempat-tempat Ibadah dan Pembinaan Keagamaan</t>
  </si>
  <si>
    <t>Afirmasi Lembaga Agama (OTSUS)</t>
  </si>
  <si>
    <t>Afirmasi Lembaga Masyarakat Adat Asli (OTSUS)</t>
  </si>
  <si>
    <t>DINAS TENAGA KERJA DAN TRANSMIGRASI</t>
  </si>
  <si>
    <t>Pendidikan dan pelatihan ketrampilan bagi pencari kerja (OTSUS)</t>
  </si>
  <si>
    <t>Pembinaan Kelompok Kerja Keterampilan Perempuan (OTSUS)</t>
  </si>
  <si>
    <t>Pelatihan Pembuatan Kerupuk Ikan (Amplang) (OTSUS)</t>
  </si>
  <si>
    <t>Pengembangan kesenian dan kebudayaan daerah (OTSUS)</t>
  </si>
  <si>
    <t>Pengembangan Fasilitas Penyelenggaraan Festival Budaya Asli (OTSUS)</t>
  </si>
  <si>
    <t>Penguatan Fungsi dan Peran Lembaga Masyarakat Adat Asli Papua  (OTSUS)</t>
  </si>
  <si>
    <t>DINAS PARIWISATA</t>
  </si>
  <si>
    <t>Program pengembangan Kemitraan</t>
  </si>
  <si>
    <t>Pelatihan Tenaga terampil pengelola usaha pariwisata (OTSUS)</t>
  </si>
  <si>
    <t>6</t>
  </si>
  <si>
    <t>KABUPATEN BIAK NUMFOR</t>
  </si>
  <si>
    <t>Biaya Penyelenggaraan Pembelajaran / Operasional PKBM (OTSUS)</t>
  </si>
  <si>
    <t>Pengadaan Meubelair Sekolah (Otsus)</t>
  </si>
  <si>
    <t>Pembangunan ruang serba guna (Otsus)</t>
  </si>
  <si>
    <t>Pengadaan Guru Kontrak Jenjang SD (OTSUS)</t>
  </si>
  <si>
    <t>Pembangunan rumah dinas guru dan kepala sekolah (Otsus)</t>
  </si>
  <si>
    <t>Pembangunan gedung SD reguler (Otsus)</t>
  </si>
  <si>
    <t>Pengadaan Meubeleur Sekolah (Otsus)</t>
  </si>
  <si>
    <t>Pembangunan Jamban Sekolah (Otsus)</t>
  </si>
  <si>
    <t>Pengadaan Guru Kontrak Jenjang SMP (Otsus)</t>
  </si>
  <si>
    <t>Penerapan Sanitasi sekolah berbasis STBM SD (Otsus)</t>
  </si>
  <si>
    <t>Pelaksanaan Ujian Nasional SD/MI/Paket A (Otsus)</t>
  </si>
  <si>
    <t>Pelaksanaan Ujian Sekolah SMP/MTs/Paket B</t>
  </si>
  <si>
    <t>Pengadaan Guru Kontrak (SMA) (OTSUS)</t>
  </si>
  <si>
    <t>Penyediaan bantuan operasional bagi lembaga penyelenggara sekolah kecakapan hidup berasrama untuk anak terlantar dan bermasalah sosial (Otsus)</t>
  </si>
  <si>
    <t>Penguatan Baca Tulis Untuk Bagi SD Kelas Awal (Otsus)</t>
  </si>
  <si>
    <t>Pelatihan Guru dan Kepala Sekolah Untuk Baca Tulis Kelas Awal (Otsus)</t>
  </si>
  <si>
    <t>Pelaksanaan KKG Baca Tulis Tahun 2018 (Otsus)</t>
  </si>
  <si>
    <t>Penyelenggaran Afirmasi Kelas MIPA dan Bahasa Inggris Khusus OAP (Otsus)</t>
  </si>
  <si>
    <t>Pelaksanaan Kegiatan Afirmasi Pendidikan Menengah (ADEM) dan Pendidikan Tinggi (ADIK) dan Pengembangan Siswa/I AEM (Otsus)</t>
  </si>
  <si>
    <t>Sanggar Kegiatan Belajar</t>
  </si>
  <si>
    <t>Peningkatan Kompetensi Guru TK/PAUD/SPS/KB (Otsus)</t>
  </si>
  <si>
    <t>Pendidikan dan Pelatihan Berjenjang Tutor PAUD/KB/SPS (Otsus)</t>
  </si>
  <si>
    <t>Pendidikan dan Pelatihan Pengelolaan (TBM) (Otsus)</t>
  </si>
  <si>
    <t>Pendidikan dalam Pelatihan Pengelola Pusat Kegiatan Belajar Mengajar (PKBM) (Otsus)</t>
  </si>
  <si>
    <t>Pendidik dalam pelatihan berjenjang Pendidikan dan Tenaga Pendidikan Masyarakat (PTK DIKMAS)</t>
  </si>
  <si>
    <t>Pengadaan alat permainan edukatif (APE) indoor dan outdoor (Otsus)</t>
  </si>
  <si>
    <t>Pengadaan Tutor Kontrak PAUD (Otsus)</t>
  </si>
  <si>
    <t>Pengembangan pendidikan kecakapan hidup (Otsus)</t>
  </si>
  <si>
    <t>Pengembangan Kurikulum, Bahan Ajar dan Model Pembelajaran PAUD (Otsus)</t>
  </si>
  <si>
    <t>Percontohan PAUD Terpadu Holistik Terintegrasi Posyandu (Otsus)</t>
  </si>
  <si>
    <t>Pengembangan Model Pendidikan Keaksaraan yang sesuai dengan Kondisi Sosial Budaya Setempat (Otsus)</t>
  </si>
  <si>
    <t>Lomba Karya Tulis dan Karya Nyata GTK PAUD dan Dikmas Tingkat Kabupaten (Otsus)</t>
  </si>
  <si>
    <t>Pengadaan obat fasilitas kesehatan tingkat pertama (FKTP) (Otsus)</t>
  </si>
  <si>
    <t>Pendistribusian Obat Termasuk Administrasi Gedung Farmasi (Otsus)</t>
  </si>
  <si>
    <t>Pendistribusian Obat dari PKM ke Unit-unit Pelayanan (Otsus)</t>
  </si>
  <si>
    <t>Peningkatan Mutu Pelayanan Kefarmasian melalui pemuktahiran data kefarmasian (Otsus)</t>
  </si>
  <si>
    <t>Pendistribusian Obat Dari Distributor Dengan Pengadaan Sistim E-Catalog (Otsus)</t>
  </si>
  <si>
    <t>Peningkatan Kualitas Pelayanan Petugas kesehatan dalam kegawatdaruratan (Otsus)</t>
  </si>
  <si>
    <t>Pelayanan Kesehatan Masyarakat Mobile Clinik (Pengobatan Daerah Terpencil/Kepulauan) (Otsus)</t>
  </si>
  <si>
    <t>Bantuan Operasional Puskesmas dan jaringannya (Otsus)</t>
  </si>
  <si>
    <t>Pertemuan Kemitraan Program Puskesmas Dengan penyehat Tradisional Tingkat Kabupaten (Otsus)</t>
  </si>
  <si>
    <t>Pembinaan Taman Obat Keluarga (TOGA) Tingkat Puskesmas (Otsus)</t>
  </si>
  <si>
    <t>Jaminan Kesehatan Bagi Masyarakat OAP Non Kapitasi (Otsus)</t>
  </si>
  <si>
    <t>Peningkatan Pengawasan Obat dan makanan (Otsus)</t>
  </si>
  <si>
    <t>Pengembangan media promosi (OTSUS)</t>
  </si>
  <si>
    <t>Kampanye Promosi dan Informasi Gerakan Mayarakat sadar hidup sehat (Otsus)</t>
  </si>
  <si>
    <t>Pembinaan Keluarga sehat yang terbina (Otsus)</t>
  </si>
  <si>
    <t>Pelatihan Dokter Kecil Usaha Kesehatan Sekolah (Otsus)</t>
  </si>
  <si>
    <t>Pemberian Tambahan Makan Anak Sekolah (Otsus)</t>
  </si>
  <si>
    <t>Penyediaan Buffer Stock Makanan Pendamping Air Susu Ibu (MP-ASI) untuk bayi, balita dengan Suspek HIV Gizi Buruk (Otsus)</t>
  </si>
  <si>
    <t>Pemberian Tambahan Makan Untuk Balita gizi kurang dan buruk (Otsus)</t>
  </si>
  <si>
    <t>Pemberian Tambahan Makanan untuk ibu hamil yang kekurangan Energi Kronik (KEK) (Otsus)</t>
  </si>
  <si>
    <t>Sanitasi berbasis masyarakat (OTSUS)</t>
  </si>
  <si>
    <t>Pemeriksaan sampel kadar air yang di periksa secara mikrobiologi (Otsus)</t>
  </si>
  <si>
    <t>Imunisasi Khusus dan Tambahan yang terlayani (Otsus)</t>
  </si>
  <si>
    <t>Pencegahan dan penanggulangan Penyakit Kusta dan Frambusia yang tertangani (Penemuan dan Pebobatan) (Otsus)</t>
  </si>
  <si>
    <t>Pencegahan dan Penanggulangan kesehatan jiwa (Otsus)</t>
  </si>
  <si>
    <t>Pencegahan dan Peneggulangan Penyakit Tuberkulosis (TB) (Otsus)</t>
  </si>
  <si>
    <t>Pencegahan dan penanggulangan Penyakit IMS dan HIV/AIDS (Otsus)</t>
  </si>
  <si>
    <t>Surveilans Epidemilogi AFP &amp; PD3I lainnya STP (Surveilans Terpadu Liannya) (Otsus)</t>
  </si>
  <si>
    <t>Pelayanan Imunisasi Dasar (Otsus)</t>
  </si>
  <si>
    <t xml:space="preserve">Pencegahan dan penaggulangan Penyakit Endemik (Malaria) (Otsus) </t>
  </si>
  <si>
    <t>Pencegahan dan penaggulangan secara masal Penderita (POPM) Filariasis (Otsus)</t>
  </si>
  <si>
    <t>Kolaborasi TB-HIV (Penemuan dan penanganan pasien koinfeksi TB-HIV (Otsus)i</t>
  </si>
  <si>
    <t>Pencegahan dan penaggulangan penyakit DBD (Otsus)</t>
  </si>
  <si>
    <t xml:space="preserve">Pelayanan Imunisasi Lanjutan bagi Balita dan Anak Sekolah (BIAS) (Otsus) </t>
  </si>
  <si>
    <t>Kewaspadaan dan Penanggulangan Kasus KLB dan Wabah (Otsus)</t>
  </si>
  <si>
    <t>Program peningkatan pelayanan kesehatan lansia</t>
  </si>
  <si>
    <t>Pengembangan posyandu lansia (OTSUS)</t>
  </si>
  <si>
    <t>Pelatihan Konselor sebaya untuk kesehatan reproduksi remaja (Otsus)</t>
  </si>
  <si>
    <t>Pelatihan Kemampuan dan Keterampilan Bidan Dalam Asuhan Persalinan Normal (APN) (Otsus)</t>
  </si>
  <si>
    <t>Pelatihan medis dan paramedis dalam Pencegahan Penularan HIV dari Ibu ke Anak bagi Bidan, Dokter dan Analis (Otsus)</t>
  </si>
  <si>
    <t>Pelatihan Petugas Kesehatan Reproduksi Kespro Terpadu (Otsus)</t>
  </si>
  <si>
    <t>Peningkatan Pelayanan Kesehatan Ibu Hamil dan Rekam Medik dalam P4K (Otsus)</t>
  </si>
  <si>
    <t>Turun kampung dokter spesialis obgyn dan (AMP) Audit Maternal Perinatal (Otsus)</t>
  </si>
  <si>
    <t>Program Jaminan Kesehatan Masyarakat Asli Papua</t>
  </si>
  <si>
    <t>Pemberian jaminan kesehatan Gadar kepada Orang Asli Papua Dari Puskesmas dan Jaringan ke RS (OTSUS)</t>
  </si>
  <si>
    <t>Peningkatan kualitas SDM kesehatan melalui penyediaan beasiswa D3,D4,S1,S2 (OTSUS)</t>
  </si>
  <si>
    <t>Penyediaan tenaga kesehatan tidak tetap (Kontrak) (OTSUS)</t>
  </si>
  <si>
    <t>On The Job Training Bidan Yankes (Otsus)</t>
  </si>
  <si>
    <t>Pelatihan Petugas Mikroskopis TB, Juru Kusta , petugas PTM (Otsus)</t>
  </si>
  <si>
    <t>Penyediaan Prasarana dan Sarana Air Minum bagi Masyarakat berpenghasilan rendah OAP (OTSUS)</t>
  </si>
  <si>
    <t>Pembangunan/Peningkatan dan Pemeliharaan Jalan dan Jembatan di Lingkungan Kampung OAP (OTSUS)</t>
  </si>
  <si>
    <t>Dinas Perumahan Kawasan Pemukiman</t>
  </si>
  <si>
    <t>Pembangunan Rumah Layak Huni bagi Masyarakat Asli Papua (OTSUS)</t>
  </si>
  <si>
    <t>Badan Perencanaan dan Pembangunan Daerah</t>
  </si>
  <si>
    <t>Peta Pewilayaan Pembangunan Otsus Berbasis Spasial (Otsus)</t>
  </si>
  <si>
    <t>Monitoring, evaluasi dan pelaporan pelaksanaan rencana pembangunan daerah (OTSUS)</t>
  </si>
  <si>
    <t>Koordinasi &amp; Konsultasi URD dan RD Otsus perubahan dan Induk (OTSUS)</t>
  </si>
  <si>
    <t>Musrembang RKPD Sumber Dana OTSUS Tahun Anggaran 2017 (OTSUS)</t>
  </si>
  <si>
    <t>Evaluasi Rencana Definitif Otsus Tahun 2018 (Otsus)</t>
  </si>
  <si>
    <t>Pembangunan Lampu Dermaga/Sollar cell (Otsus)</t>
  </si>
  <si>
    <t>Program peningkatan pelayanan angkutan</t>
  </si>
  <si>
    <t>Pengadaan Angkutan Umum (OTSUS)</t>
  </si>
  <si>
    <t>Program Pembangunan Sarana dan Prasarana Perhubungan</t>
  </si>
  <si>
    <t>Pembangunan Penerangan Prasarana Perhubungan (OTSUS)</t>
  </si>
  <si>
    <t>Pengembangan Data Base Kependudukan OAP (OTSUS)</t>
  </si>
  <si>
    <t>Pemberdayaan Perempuan Perlindungan Anak dan Keluarga Berencana</t>
  </si>
  <si>
    <t>Penetapan Kampung Ramah Anak (Otsus)</t>
  </si>
  <si>
    <t>Sarasehan remaja papua (meminimalkan angka putus sekolah remaja papua karena hamil) (Otsus)</t>
  </si>
  <si>
    <t>Fasilitasi Perempuan Pesisir OAP Pengembangan Kebun Ikan (Otsus)</t>
  </si>
  <si>
    <t>Peningkatan perlindungan Hak Reproduksi Individu (Otsus)</t>
  </si>
  <si>
    <t>Pemberian Jaminan Hidup bagi OAP Penyandang Masalah Kesejahteraan Sosial (Otsus)</t>
  </si>
  <si>
    <t>Pengadaan sarana dan prasarana pendukung usaha bagi keluarga miskin OAP (Otsus)</t>
  </si>
  <si>
    <t>Penyusunan database tenaga kerja daerah OAP (Otsus)</t>
  </si>
  <si>
    <t>LLK UKM</t>
  </si>
  <si>
    <t>Pelatihan Ketrampilan Motor Tempel Bagi Pencari Kerja OAP (Otsus)</t>
  </si>
  <si>
    <t>Pelatihan Ketrampilan Pembauatan Perahu Fiber Bagi Pencari Kerja OAP (Otsus)</t>
  </si>
  <si>
    <t>Pelatihan Ketrampilan Sepeda Motor Bagi Pencari Kerja OAP (Otsus)</t>
  </si>
  <si>
    <t>Pelatihan Ketrampilan Teknis Komputer Bagi Pencari Kerja OAP (Otsus)</t>
  </si>
  <si>
    <t>Dinas Koperasi Usaha Kecil dan Menengah</t>
  </si>
  <si>
    <t>penciptaan wirausaha baru khususnya wirausaha asli papua (Otsus)</t>
  </si>
  <si>
    <t>peningkatan kualitas manajemen UKM (Otsus)</t>
  </si>
  <si>
    <t>Bimbingan teknis BUMDES ( Badan Usaha Milik Desa) dan Pengurus koperasi OAP (Otsus)</t>
  </si>
  <si>
    <t>pemberdayaan usaha ekonomi masyarakat adat asli papua di sektor primer (Otsus)</t>
  </si>
  <si>
    <t>Pelatihan manajemen kelembagaan dan tenaga pendamping produksi (Otsus)</t>
  </si>
  <si>
    <t>peningkatan kualitas sumber daya manusia pelaku usaha mini mikro, mikro dan kecil (Otsus)</t>
  </si>
  <si>
    <t>pembinaan manajemen usaha (Otsus)</t>
  </si>
  <si>
    <t>peningkatan ketrampilan usaha (Otsus)</t>
  </si>
  <si>
    <t>Pengembangan perilaku kewirausahaan OAP (Otsus)</t>
  </si>
  <si>
    <t>bantuan pemasaran hasil produksi (Otsus)</t>
  </si>
  <si>
    <t>Pendampingan bagi pelaku usaha ekonomi masyarakat orang asli papua sesuai dengan karakteristik sosial budaya setempat (Otsus)</t>
  </si>
  <si>
    <t>Lomba Seni Anak dan Remaja Papua XV Tahun 2018 (OTSUS)</t>
  </si>
  <si>
    <t>Festival Seni dan Budaya Biak Tahun 2018 (Otsus)</t>
  </si>
  <si>
    <t>Badan Pengelolaan Keuangan dan Aset Daerah (SKPKD)</t>
  </si>
  <si>
    <t>Belanja Hibah kepada Badan/Lembaga/Organisasi</t>
  </si>
  <si>
    <t>Belanja Hibah Lembaga Pendidikan</t>
  </si>
  <si>
    <t>Belanja Hibah untuk Dewan Adat</t>
  </si>
  <si>
    <t>Belanja Hibah Keagamaan</t>
  </si>
  <si>
    <t>Belanja Hibah kepada Kelompok/Anggota Masyarakat</t>
  </si>
  <si>
    <t>Belanja hibah kepada Kelompok/anggota masyarakat</t>
  </si>
  <si>
    <t>Dinas Pertanian dan Ketahanan Pangan</t>
  </si>
  <si>
    <t>Penyuluhan dan pendampingan petani dan pelaku agribisnis OAP (Otsus)</t>
  </si>
  <si>
    <t>Pelatihan petani dan pelaku agribisnis (Magang Peternak OAP) (Otsus)</t>
  </si>
  <si>
    <t>Program Peningkatan Ketahanan Pangan pertanian/perkebunan</t>
  </si>
  <si>
    <t>Pengembangan komoditas unggulan tanaman pangan spesifik papua (Otsus)</t>
  </si>
  <si>
    <t>Penanganan daerah rawan pangan (Otsus)</t>
  </si>
  <si>
    <t>Pemanfaatan pekarangan oleh kelompok wanita tani OAP (Otsus)</t>
  </si>
  <si>
    <t>Pengembangan lumbung/cadangan pangan masyarakat spesifik loka (Otsus)</t>
  </si>
  <si>
    <t>Penganeka ragaman pangan spesifik pangan lokal (Otsus)</t>
  </si>
  <si>
    <t>Peningkatan produksi dan produktivitas tanaman pangan dan holtikultura (Otsus)</t>
  </si>
  <si>
    <t>Pengadaan Sarana dan Prasarana Tehnologi Pertanian Tepat Guna (Cultivator) (Otsus)</t>
  </si>
  <si>
    <t>pengembangan bibit unggul pertanian/perkebunan (Otsus)</t>
  </si>
  <si>
    <t>Pengendalian Hama Penyakit Tanaman/Penyuluhan Peningkatan Produksi Tanaman (Otsus)</t>
  </si>
  <si>
    <t>Pendistribusian bibit ternak kepada masyarakat (Otsus)</t>
  </si>
  <si>
    <t>Pengembangan agribisnis peternakan (Otsus)</t>
  </si>
  <si>
    <t>Pembelian dan pendistribusian vaksi dan pakan ternak (Otsus)</t>
  </si>
  <si>
    <t>Program peningkatan penerapan teknologi peternakan</t>
  </si>
  <si>
    <t xml:space="preserve">Pelatihan dan bimbingan penerapan teknologi peternakan tepat guna (Otsus) </t>
  </si>
  <si>
    <t>Program Peningkatan Produksi Perkebunan</t>
  </si>
  <si>
    <t>Pengembangan komoditas unggulan perkebunan spesifik Papua (Otsus)</t>
  </si>
  <si>
    <t>Penyediaan sarana produksi perkebunan (Otsus</t>
  </si>
  <si>
    <t>Pengembangan sarana dan prasarana perkebunan (Otsus)</t>
  </si>
  <si>
    <t>Perluasan aeral komoditas perkebunan (Otsus)</t>
  </si>
  <si>
    <t>Magang Petani Pasca Panen (Otsus)</t>
  </si>
  <si>
    <t>Pelatihan Pengelola Objek Wisata (Pelatihan kuliner khas Papua) (Otsus)</t>
  </si>
  <si>
    <t>Pelatihan Manajemen pengelolaa ODTW (Otsus)</t>
  </si>
  <si>
    <t>Pelatihan Pembuatan Souvenir menggunakan bahan lokal (Otsus)</t>
  </si>
  <si>
    <t>Penataan Daerah Objek Wisata (Otsus)</t>
  </si>
  <si>
    <t>Pengadaan Pelatan Menyelam/Diving (Otsus)</t>
  </si>
  <si>
    <t>Lomba cipta menu dari bahan baku ikan (Peningkatan kreatifitas dan inovasi dalam mengola hasil perikanan) (Otsus)</t>
  </si>
  <si>
    <t>Pengembangan bibit ikan unggul (Otsus)</t>
  </si>
  <si>
    <t>Pendamping Kelompok Pembudidaya Ikan (Otsus)</t>
  </si>
  <si>
    <t>Pelatihan Pembuatan Pakan Ikan (Otsus)</t>
  </si>
  <si>
    <t>Pelatihan Budidaya Ikan Air Tawar (Otsus)</t>
  </si>
  <si>
    <t>Pembinaan dan Pengembangan Prasarana Budidaya Perikanan Air Tawar (Otsus)</t>
  </si>
  <si>
    <t>Pengadaan pakan ikan kerapu (Otsus)</t>
  </si>
  <si>
    <t>Penyediaan Peralatan Tangkap Bagi Nelayan OAP (Otsus)</t>
  </si>
  <si>
    <t>Program Pengembangan Industri Kecil dan Menengah</t>
  </si>
  <si>
    <t>Pembinaan Industri kecil menengah dalam memperkuat jaringan klaster industri (Otsus)</t>
  </si>
  <si>
    <t>7</t>
  </si>
  <si>
    <t>KABUPETEN PANIAI</t>
  </si>
  <si>
    <t>Pembangunan Ruang Guru dan Kepala Sekolah (OTSUS)</t>
  </si>
  <si>
    <t>Pengadaan Pendidik PAUD Non Formal dan Formal (OTSUS)</t>
  </si>
  <si>
    <t>Pelatihan Kompetensi Tenaga Pendidik dan Kependidikan (OTSUS)</t>
  </si>
  <si>
    <t>Penyediaan Tunjangan Khusus Guru Di Daerah Terpencil dan Terisolir (OTSUS)</t>
  </si>
  <si>
    <t>Penyediaan Insentif Guru atau Guru Pendamping (OTSUS)</t>
  </si>
  <si>
    <t>Pengadaan Alat Permainan edukatif Indoor dan Outdoor (OTSUS)</t>
  </si>
  <si>
    <t>Pengadaan Meubelair Sekolah (siswa, guru dan perpustakaan) (OTSUS)</t>
  </si>
  <si>
    <t>Penambahan Ruang Kelas (berbasis sentral belajar) (OTSUS)</t>
  </si>
  <si>
    <t>Pemeliharaan Rutin Bangunan dan Perlengkapan Sekolah (OTSUS)</t>
  </si>
  <si>
    <t>Pengadaan Makanan Tambahan Siswa Berbahan Lokal sesuai dengan Usia Tumbuh Kembang Anak (OTSUS)</t>
  </si>
  <si>
    <t>Penyelenggaran PAUD Non Formal dan Formal (OTSUS)</t>
  </si>
  <si>
    <t>Pengadaan Buku Penunjang Pembelajaran dan Pengayaan (OTSUS)</t>
  </si>
  <si>
    <t>Pengadaan Pendidik (Guru Kontrak)</t>
  </si>
  <si>
    <t>Pengadaan Tenaga Kependidikan (TU, Petugas Perpustakaan, Laboratorium, Penjaga Sekolah, Tenaga Kebersihan dan Pengelolah Asrama) (OTSUS)</t>
  </si>
  <si>
    <t>Pelatihan Kopetensi Bagi Tenaga Pendidik dan Tenaga Kependidikan, Termasuk Life Skill Pencegahan HIV/AIDS (OTSUS)</t>
  </si>
  <si>
    <t>Pembangunan Rumah Dinas Guru dan Perlengkapannya (OTSUS)</t>
  </si>
  <si>
    <t>Pengadaan Tenaga Pendidik (Honor/Kontrak) (OTSUS)</t>
  </si>
  <si>
    <t>Pengadaan Beasiswa Melanjutkan (transisi) Untuk Siswa Asli Papua Kejenjang SMP (OTSUS)</t>
  </si>
  <si>
    <t>Pengadaan Buku Penunjang Pembelajaraan dan Pengayaan Siswa (OTSUS)</t>
  </si>
  <si>
    <t>Pengadaan Bahan Habis Pakai untuk Pendukung Pembelajaran dan Praktek Siswa (OTSUS)</t>
  </si>
  <si>
    <t>Penyediaan Biaya Operasional Pendukung Ekstra Kurikuler (OTSUS)</t>
  </si>
  <si>
    <t>Pengadaan Meubelair dan Perlengkapan Pendukung Untuk Ruang Kelas, Ruang Guru, UKS, Perpustakaan dan Asrama (OTSUS)</t>
  </si>
  <si>
    <t>Penyelenggaraan Pendidikan Kejar Paket A (OTSUS)</t>
  </si>
  <si>
    <t>Pembangunan Ruang Kelas SD Reguler (OTSUS)</t>
  </si>
  <si>
    <t>Penambahan Ruang Kelas SD Reguler, SD SMP Satu Atap (OTSUS)</t>
  </si>
  <si>
    <t>Penyediaan Insentif Guru dengan Prioritas Guru Non PNS atau PNS Yang Belum Bersertifikasi (OTSUS)</t>
  </si>
  <si>
    <t>Penyediaan Tunjangan Khusus Guru di Daerah Terpencil dan Terisolir (OTSUS)</t>
  </si>
  <si>
    <t>Penyediaan Biaya Operasional Pendukung Kegiatan Ekstrakurikuler (OTSUS)</t>
  </si>
  <si>
    <t>Pembangunan Sarana dan Prasarana Pendidikan Non Formal (OTSUS)</t>
  </si>
  <si>
    <t>Penyelenggaraan Pendidikan Non Formal Keaksaraan Dasar (KF dan Keterampilan Kerja) (OTSUS)</t>
  </si>
  <si>
    <t>Penyediaan Biaya Operasional bagi Lembaga Penyelenggara Pendidikan Bagi Kelompok Adat Terpencil (OTSUS)</t>
  </si>
  <si>
    <t>Penyediaan Operasional bagi Lembaga Penyelenggara Sekolah Kecakapan Hidup Berasrama untuk Anak Terlantar dan Bermasalah Sosial (OTSUS)</t>
  </si>
  <si>
    <t>Program Pendidikan Menengah Kejuruan (SMK)</t>
  </si>
  <si>
    <t>Penyediaan Insentif Guru Dengan Prioritas Guru Non-PNS atau PNS yang Belum Bersertifikasi (OTSUS)</t>
  </si>
  <si>
    <t>Pengadaan Pendidik (Guru Kontrak) dan Tutor Ahli (OTSUS)</t>
  </si>
  <si>
    <t>Penyediaan Biaya Operasional Pendukung Ekstrakurikuler (OTSUS)</t>
  </si>
  <si>
    <t>Penyediaan Biaya Operasional Praktek Kerja Industri (Prakerin) (OTSUS)</t>
  </si>
  <si>
    <t>Program Wajib Belajar Pendidikan Dasar Sembilan Tahun (SMP)</t>
  </si>
  <si>
    <t>Penyediaan Tunjangan Khusus Guru di Daerah Terpencil dan Terisolir  (OTSUS)</t>
  </si>
  <si>
    <t>Pembangunan Rumah Dinas Guru dan Kepala Sekolah serta Perlengkapannya (OTSUS)</t>
  </si>
  <si>
    <t>Pengadaan Komputer dan ICT untuk Pembelajaran Interaktif dan Pangkalan Data Pendidikan (OTSUS)</t>
  </si>
  <si>
    <t>Penyelenggaraan Kejar Paket C (OTSUS)</t>
  </si>
  <si>
    <t>Pengadaan Obat dan Pengiriman ke Puskesmas dan Jaringannya termasuk Obat ARV (OTSUS)</t>
  </si>
  <si>
    <t>Peningkatan Manajemen Puskesmas (OTSUS)</t>
  </si>
  <si>
    <t>Peningkatan Kualitas Pelayanan (OTSUS)</t>
  </si>
  <si>
    <t>Bantuan Operasional, Upaya Kesehatan Rujukan dan Pelayanan Kesehatan Ibu dan Anak (OTSUS)</t>
  </si>
  <si>
    <t>Penyuluhan Langsung Kepada Masyarakat (OTSUS)</t>
  </si>
  <si>
    <t>Pengembangan UKBM (Upaya Kesehatan Berbasis Masyarakat) (OTSUS)</t>
  </si>
  <si>
    <t>Pelatihan Kader (OTSUS)</t>
  </si>
  <si>
    <t>Pelacakan dan Penanganan Kasus Gizi Buruk (OTSUS)</t>
  </si>
  <si>
    <t>Pengembangan Lingkungan Sehat (OTSUS)</t>
  </si>
  <si>
    <t>Menjamin Ketersediaan Vaksin dan Penyimpanan Vaksin (OTSUS)</t>
  </si>
  <si>
    <t>Penanggulangan TBC, Malaria, Frambusia, Filaria, Kusta, Teaniasis, Penyakit Tidak Menular (OTSUS)</t>
  </si>
  <si>
    <t>Pencegahan dan Pemberantasan IMS dan HIV/AIDS (OTSUS)</t>
  </si>
  <si>
    <t>Immunisasi Pada Balita OAP Tepat Waktu (OTSUS)</t>
  </si>
  <si>
    <t>Peningkatan Peran Posyandu (OTSUS)</t>
  </si>
  <si>
    <t>Pengembangan Posyandu Lansia (OTSUS)</t>
  </si>
  <si>
    <t>Pelayanan Antenatal, Persalinan, Nifas dan Perawatan Bayi Baru Lahir (OTSUS)</t>
  </si>
  <si>
    <t>Peningkatan dan Pemeliharaan Kesehatan Ibu dan Bayi Baru Lahir OAP (OTSUS)</t>
  </si>
  <si>
    <t>Pemberian Jaminan Kesehatan Kepada Orang Asli Papua (OTSUS)</t>
  </si>
  <si>
    <t>Peningkatan Kualitas SDM Kesehatan Melalui Penyediaan Beasiswa D-III, S-I, S-II Kesehatan (OTSUS)</t>
  </si>
  <si>
    <t>Rumah Sakit Umum Daerah (RSUD)</t>
  </si>
  <si>
    <t>Program pelayanan kesehatan penduduk miskin</t>
  </si>
  <si>
    <t>Pelayanan Kesehatan Dasar Bagi Masyarakat Miskin (OTSUS)</t>
  </si>
  <si>
    <t>Penyediaan prasarana dan sarana air minum bagi masyarakat berpenghasilan rendah OAP (OTSUS)</t>
  </si>
  <si>
    <t>Program pembangunan infrastruktur perdesaan</t>
  </si>
  <si>
    <t>Pembangunan/Peningkatan Jalan dan Jembatan dilingkungan Kampung OAP (OTSUS)</t>
  </si>
  <si>
    <t>Pembangunan Sarana dan Prasarana Air Bersih Kampung OAP (OTSUS)</t>
  </si>
  <si>
    <t>Dinas Perumahan dan Kawasan Pemukiman</t>
  </si>
  <si>
    <t>Pengadaan dan Pemasangan PLTS (OTSUS)</t>
  </si>
  <si>
    <t>Badan Penanggulangan Bencana Daerah</t>
  </si>
  <si>
    <t>Penataan Lingkungan Pemukiman Penduduk Kampung OAP (OTSUS)</t>
  </si>
  <si>
    <t>Dinas Sosial dan Tenaga Kerja</t>
  </si>
  <si>
    <t>Pengadaan sarana dan prasarana pendukung usaha bagi keluarga miskin OAP (OTSUS)</t>
  </si>
  <si>
    <t>Peningkatan Kualitas dan Produktifitas Tenaga Kerja</t>
  </si>
  <si>
    <t>Pendidikan dan Pelatihan Keterampilan Bagi Pencari Kerja OAP (OTSUS)</t>
  </si>
  <si>
    <t>Fasilitas dan Stimulasi Pembangunan Perumahan Masyarakat Kurang Mampu (OTSUS)</t>
  </si>
  <si>
    <t>Program Pembinaan dan Pendampingan Pelaku Usaha  Ekonomi Kerakyatan</t>
  </si>
  <si>
    <t>Bantuan Pemasaran Hasil Produksi (OTSUS)</t>
  </si>
  <si>
    <t>Pemberian Bantuan Fasilitas dan Permodalan (OTSUS)</t>
  </si>
  <si>
    <t>Pembinaan Manajemen Usaha (OTSUS)</t>
  </si>
  <si>
    <t>Pemberdayaan Usaha Ekonomi Masyarakat Adat Asli Papua di sektor Primer (OTSUS)</t>
  </si>
  <si>
    <t>Penyuluhan dan Pendampingan Petani dan Pelaku Agribisnis OAP (OTSUS)</t>
  </si>
  <si>
    <t>Peningkatan Pengetahuan dan Keterampilan Petani (OTSUS)</t>
  </si>
  <si>
    <t>Program Peningkatan Ketahanan Pangan</t>
  </si>
  <si>
    <t>Pemanfaatan Pekarangan Oleh Kelompok Wanita Tani OAP (OTSUS)</t>
  </si>
  <si>
    <t>Peningkatan Produksi dan Produktifitas Tanaman Pangan dan Hortikultura (OTSUS)</t>
  </si>
  <si>
    <t>Program Peningkatan Produksi Pertaniai/Perkebunan</t>
  </si>
  <si>
    <t>Penyediaan Sarana Produksi Pertanian/Perkebunan (OTSUS)</t>
  </si>
  <si>
    <t>Pengembangan Bibit Unggul Pertanian/Perkebunan (OTSUS)</t>
  </si>
  <si>
    <t>Pengembangan Database Kependudukan Orang Asli Papua (OAP) (OTSUS)</t>
  </si>
  <si>
    <t>Dinas Pemberdayaan Masyarakat Kampung</t>
  </si>
  <si>
    <t>Pemberdayaan Kewirausahaan Kelompok Pengusaha OAP Produk Lokal (OTSUS)</t>
  </si>
  <si>
    <t>Peningkatan Keterampilan Usaha (OTSUS)</t>
  </si>
  <si>
    <t>Penguatan Institusi Masyarakat Adat Asli Dalam Pengelolaan Hak Ulayat Untuk Produksi (OTSUS)</t>
  </si>
  <si>
    <t>Pendampingan Bagi Pelaku Usaha Ekonomi Masyarakat Asli Papua Sesuai Dengan Karakteristik Sosial Budaya Setempat (OTSUS)</t>
  </si>
  <si>
    <t>Sosialisasi dan Pemantauan Penyaluran KUR dan PKBL (OTSUS)</t>
  </si>
  <si>
    <t>Pembangunan Dermaga Sungai/Danau (OTSUS)</t>
  </si>
  <si>
    <t>Program Pengembangan Bidang Telekomunikasi</t>
  </si>
  <si>
    <t>Pengadaan Peralatan Komunikasi (OTSUS)</t>
  </si>
  <si>
    <t>Dinas Koperasi dan Usaha Kecil Menengah</t>
  </si>
  <si>
    <t>Pembinaan Koperasi Peran Serta Masyarakat Adat Asli Papua (OTSUS)</t>
  </si>
  <si>
    <t>Peningkatan Kualitas Pelayanan dan Pemenuhan Standar/Ketentuan Pengelolaan Koperasi (OTSUS)</t>
  </si>
  <si>
    <t>Peningkatan Kualitas SDM Pelaku Usaha Mini, Mikro dan Kecil (OTSUS)</t>
  </si>
  <si>
    <t>Dinas Pemuda dan Olahraga</t>
  </si>
  <si>
    <t>Pengembangan Bakat dan Keterampilan Anak Terlantar OAP (OTSUS)</t>
  </si>
  <si>
    <t>Pendampingan pada kelompok tani pembudidaya ikan (OTSUS)</t>
  </si>
  <si>
    <t>Pembinaan dan Pengembangan Prasarana Budidaya Perikanan Air Tawar (OTSUS)</t>
  </si>
  <si>
    <t>Program pengembangan destinasi pariwisata</t>
  </si>
  <si>
    <t>Pengembangan daerah tujuan wisata (OTSUS)</t>
  </si>
  <si>
    <t>Pesta Budaya Tingkat Provinsi di Jayapura (OTSUS)</t>
  </si>
  <si>
    <t>Festival Seni Anak dan Remaja (OTSUS)</t>
  </si>
  <si>
    <t>Festifal Budaya Antar Distrik (OTSUS)</t>
  </si>
  <si>
    <t>Pengembangan Kebudayaan Asli Papua (OTSUS)</t>
  </si>
  <si>
    <t>Dinas Peternakan dan Perkebunan</t>
  </si>
  <si>
    <t>Penyuluhan kualitas dan teknis kemasan hasil produksi pertanian/perkebunan yang akan dipasarkan (OTSUS)</t>
  </si>
  <si>
    <t>Pelatihan dan bimbingan pengoperasian teknologi pertanian/perkebunan tepat guna (Peternakan) (OTSUS)</t>
  </si>
  <si>
    <t>Pengadaan sarana dan prasarana teknologi pertanian/perkebunan (OTSUS)</t>
  </si>
  <si>
    <t>Pelatihan dan bimbingan pengoperasian teknologi pertanian/perkebunan tepat guna (Perkebunan) (OTSUS)</t>
  </si>
  <si>
    <t>Pengembangan bibit unggul komoditas perkebunan spesifik Papua (OTSUS)</t>
  </si>
  <si>
    <t>Pembelian dan Pendistribusian Vaksin dan Pakan Ternak (OTSUS)</t>
  </si>
  <si>
    <t>Pembibitan dan perawatan ternak spesifik Papua (OTSUS)</t>
  </si>
  <si>
    <t>Penyuluhan kualitas gizi dan pakan ternak (OTSUS)</t>
  </si>
  <si>
    <t>Pembinaan industri kecil dan menengah dalam memperkuat jaringan klaster industeri (OTSUS)</t>
  </si>
  <si>
    <t>Program pengembangan sentra-sentra industri potensial</t>
  </si>
  <si>
    <t>Pengembangan Sentra-sentra Industri Potensial Yang Berbasis Potensi Komoditas Lokal (OTSUS)</t>
  </si>
  <si>
    <t>Program Pembinaan Pedagang Kaki Lima dan Asongan</t>
  </si>
  <si>
    <t>Penataan Tempat Usaha Bagi Pedagang Kaki Lima (OTSUS)</t>
  </si>
  <si>
    <t>Kegiatan fasilitasi modal usaha bagi  pedagang kakilima dan asongan (OTSUS)</t>
  </si>
  <si>
    <t>Pelaksanaan Pengawasan pada Kegiatan Sumber Dana OTSUS</t>
  </si>
  <si>
    <t>Monitoring, evaluasi dan pelaporan (Otsus)</t>
  </si>
  <si>
    <t>Penyusunan URD/RKA Otsus (OTSUS)</t>
  </si>
  <si>
    <t>Badan Keuangan dan Aset Daerah</t>
  </si>
  <si>
    <t>Penyusunan dan Pelaporan Realisasi yang Bersumber dari Dana Otonomi Khusus (OTSUS)</t>
  </si>
  <si>
    <t>BKAD (SKPKD)</t>
  </si>
  <si>
    <t>Belanja Hibah</t>
  </si>
  <si>
    <t xml:space="preserve">Belanja Hibah Kepada PKK </t>
  </si>
  <si>
    <t xml:space="preserve">Belanja Hibah Kepada Darma Wanita </t>
  </si>
  <si>
    <t xml:space="preserve">Belanja Hibah Kepada Lembaga Masyarakat Adat </t>
  </si>
  <si>
    <t xml:space="preserve">Belanja Hibah Kepada Dewan Adat </t>
  </si>
  <si>
    <t>Belanja Hibah Kepada MRP</t>
  </si>
  <si>
    <t>Belanja Hibah Kepada YPPGI</t>
  </si>
  <si>
    <t>Belanja Hibah Kepada YPPK</t>
  </si>
  <si>
    <t>Belanja Hibah Kepada Lembaga Kursus/Pelatihan</t>
  </si>
  <si>
    <t>Belanja Hibah Kepada STIE Karel Gobai</t>
  </si>
  <si>
    <t>Belanja Hibah Kepada ISSP Enarotali</t>
  </si>
  <si>
    <t>Belanja Hibah Kepada STA Kebo</t>
  </si>
  <si>
    <t>Belanja Hibah Kepada STAK Nabire</t>
  </si>
  <si>
    <t>Belanja Hibah Kepada Lembaga KPG</t>
  </si>
  <si>
    <t>Belanja Hibah kepada Organisasi Keagamaan</t>
  </si>
  <si>
    <t>Belanja Hibah kepada Gereja lainnya</t>
  </si>
  <si>
    <t>Belanja Hibah kepada Panitia Pembangunan Gereja Katolik Salib Suci di Madi</t>
  </si>
  <si>
    <t>Belanja Hibah kepada Panitia Pembangunan Gereja KINGMI Eklesia Enarotali</t>
  </si>
  <si>
    <t>Belanja Hibah kepada Panitia Pembangunan Gereja Katolik Epouto</t>
  </si>
  <si>
    <t>Belanja Hibah Kepada Panitia Pembangunan Gereja Kingmi Keniapa</t>
  </si>
  <si>
    <t>Belanja Hibah Kepada Panitia Pembangunan Gereja Kingmi Okaitadi</t>
  </si>
  <si>
    <t>Belanja Bantuan Sosial</t>
  </si>
  <si>
    <t>Belanja Bantuan Sosial Kepada Individu, Keluarga dan atau Masyarakat Untuk Pemberdayaan Sosial</t>
  </si>
  <si>
    <t>Belanja Bantuan Modal Usaha Ternak</t>
  </si>
  <si>
    <t>Belanja Bantuan Modal Usaha Kios</t>
  </si>
  <si>
    <t>Belanja Bantuan Modal Usaha Kerajinan Tangan Khas Papua</t>
  </si>
  <si>
    <t>Belanja Bantuan Modal Usaha Pertanian Perkebunan</t>
  </si>
  <si>
    <t>Belanja Bantuan Modal usaha Mama-Mama Papua</t>
  </si>
  <si>
    <t>Belanja Bantuan Usaha melalui Kegiatan Usaha di Gereja-Gereja</t>
  </si>
  <si>
    <t>Bantuan Modal Usaha Batik Papua, Paniai</t>
  </si>
  <si>
    <t>Bantuan Modal Usaha Perbengkelan</t>
  </si>
  <si>
    <t>Bantuan Usaha Perikanan</t>
  </si>
  <si>
    <t>Belanja Bantuan Pemberdayaan Sosial (Bangga Papua)</t>
  </si>
  <si>
    <t>Belanja Bantuan Sosial Studi</t>
  </si>
  <si>
    <t>Belanja Bantuan Sosial kepada Pendidikan S1 Studi Akhir</t>
  </si>
  <si>
    <t>Belanja Bantuan Sosial kepada Pendidikan S2 dan S3</t>
  </si>
  <si>
    <t>Belanja Bantuan Sosial kepada Pendidikan Studi Penerbangan</t>
  </si>
  <si>
    <t>Belanja Bantuan Sosial kepada Pendidikan Studi Kedokteran</t>
  </si>
  <si>
    <t>Belanja Bantuan Sosial kepada Pendidikan Studi Luar Negeri</t>
  </si>
  <si>
    <t>Belanja Bantuan Sosial untuk Bantuan Pemondokan</t>
  </si>
  <si>
    <t>Belanja Bantuan Sosial Beasiswa Siswa SD</t>
  </si>
  <si>
    <t>Belanja Bantuan Sosial Beasiswa Siswa SLTP</t>
  </si>
  <si>
    <t>Belanja Bantuan Sosial Beasiswa Siswa SLTA</t>
  </si>
  <si>
    <t>Belanja Bantuan Sosial Beasiswa S1 PGSD dan FKIP</t>
  </si>
  <si>
    <t>Belanja Bantuan Sosial Pendidikan bagi Pendidik Untuk Memenuhi Standart Kualifikasi S1</t>
  </si>
  <si>
    <t>Belanja Bantuan Sosial Kepada Mahasiswa Studi Langka Bidang Kesehatan</t>
  </si>
  <si>
    <t>Belanja Bantuan Penyelenggaraan Ujian Nasional</t>
  </si>
  <si>
    <t>Belanja Bantuan Sosial Operasional Asrama SD dan SMP SATAP</t>
  </si>
  <si>
    <t>Belanja Bantuan Penyelenggaraan Olimpiade Sains dan Seni</t>
  </si>
  <si>
    <t>8</t>
  </si>
  <si>
    <t>KABUPATEN PUNCAK JAYA</t>
  </si>
  <si>
    <t>DINAS PENDIDIKAN DAN KEBUDAYAAN</t>
  </si>
  <si>
    <t>PROGRAM PENDIDIKAN ANAK USIA DINI</t>
  </si>
  <si>
    <t>PENGEMBANGAN PENDIDIKAN ANAK USIA DINI (OTSUS 2018)</t>
  </si>
  <si>
    <t>PENGADAAN ALAT PRAKTEK DAN PERAGA SISWA (OTSUS 2018)</t>
  </si>
  <si>
    <t>PENGADAAN BUKU PENUNJANG KOMPETENSI SISWA PAUD (OTSUS 2018)</t>
  </si>
  <si>
    <t>PEMBANGUNAN RUANG KELAS BARU PAUD (OTSUS 2018)</t>
  </si>
  <si>
    <t>PENGADAAN MEUBELER SEKOLAH PAUD/TK (OTSUS 2018)</t>
  </si>
  <si>
    <t>PEMBANGUNAN RUMAH DINAS KEPALA SEKOLAH, GURU DAN PENJAGA SEKOLAH TK/PAUD (OTSUS 2018)</t>
  </si>
  <si>
    <t>PENYEDIAAN INSENTIF GURU (GURU TK) (OTSUS 2018)</t>
  </si>
  <si>
    <t>PROGRAM WAJIB BELAJAR PENDIDIKAN DASAR SEMBILAN TAHUN</t>
  </si>
  <si>
    <t>PELAKSANAAN UJIAN (SD/PAKET A DAN SMP/PAKET B) (OTSUS 2018)</t>
  </si>
  <si>
    <t>PENYEDIAAN BIAYA OPERASIONAL PENDIDIKAN DAN EKSTRAKURIKULER (OTSUS 2018)</t>
  </si>
  <si>
    <t>PEMBANGUNAN LABORATORIUM KOMPUTER SMP N 1 MULIA (OTSUS 2018)</t>
  </si>
  <si>
    <t>PENYEDIAAN DANA OPERASIONAL PENDIDIKAN (SD) (OTSUS 2018)</t>
  </si>
  <si>
    <t>PENYEDIAAN DANA OPERASIONAL PENDIDIKAN (SMP) (OTSUS 2018)</t>
  </si>
  <si>
    <t>PENYEDIAAN BIAYA OPERASIONAL PENDIDIKAN DAN EKSTRAKULIKULER (OTSUS 2018)</t>
  </si>
  <si>
    <t>PENYEDIAAN BIAYA OPERASIONAL PENDIDIKAN DAN EKSTRAKULIKULER PORSENI (OTSUS 2018)</t>
  </si>
  <si>
    <t>PENYEDIAAN BIAYA OPERASIONAL PENDIDIKAN DAN EKSTRAKULIKULER O2SN (OTSUS 2018)</t>
  </si>
  <si>
    <t>PENYELENGGARAAN PENDIDIKAN KEJAR PAKET A (OTSUS 2018)</t>
  </si>
  <si>
    <t>PENYELENGGARAAN PENDIDIKAN KEJAR PAKET B (OTSUS 2018)</t>
  </si>
  <si>
    <t>PENYEDIAAN INSENTIF GURU (GURU SD) (OTSUS 2018)</t>
  </si>
  <si>
    <t>PENYEDIAAN INSENTIF GURU (GURU SMP) (OTSUS 2018)</t>
  </si>
  <si>
    <t>Penyediaan Dana Operasional Pendidikan (SMA dan SMK) (OTSUS 2018)</t>
  </si>
  <si>
    <t>Penyediaan Insentif Guru (SMA &amp; SMK) (OTSUS 2018)</t>
  </si>
  <si>
    <t>PROGRAM PENDIDIKAN NON FORMAL</t>
  </si>
  <si>
    <t>PENYEDIAAN BIAYA OPERASIONAL PENDIDIKAN (OTSUS 2018)</t>
  </si>
  <si>
    <t>PENDIDIKAN KEAKSARAAN FUNGSIONAL (OTSUS 2018)</t>
  </si>
  <si>
    <t>PROGRAM PENINGKATAN MUTU PENDIDIK DAN TENAGA KEPENDIDIKAN</t>
  </si>
  <si>
    <t>PELATIHAN PENGELOLAAN DANA BIAYA OPERASIONAL SEKOLAH (BOS) (OTSUS 2018)</t>
  </si>
  <si>
    <t>BIMBINGAN TEKNIS KELOMPOK KERJA GURU (KKG) (OTSUS 2018)</t>
  </si>
  <si>
    <t>BIMBINGAN TEKNIS MUSYAWARAH GURU MATA PELAJARAN (MGMP) (OTSUS 2018)</t>
  </si>
  <si>
    <t>PROGRAM PENGEMBANGAN PENDIDIKAN</t>
  </si>
  <si>
    <t>AFIRMASI PENDIDIKAN KHUSUS (OTSUS 2018)</t>
  </si>
  <si>
    <t>PENGADAAN ASRAMA SISWA (OTSUS 2018)</t>
  </si>
  <si>
    <t>PROGRAM PENGEMBANGAN NILAI BUDAYA</t>
  </si>
  <si>
    <t>Fasilitasi Penyelenggaraan Festival Remaja (OTSUS 2018)</t>
  </si>
  <si>
    <t>PROGRAM PENGELOLAAN KEKAYAAN BUDAYA</t>
  </si>
  <si>
    <t>PEMBANGUNAN GEDUNG SANGGAR SENI DAN BUDAYA (OTSUS 2018)</t>
  </si>
  <si>
    <t>PROGRAM OBAT DAN PERBEKALAN KESEHATAN</t>
  </si>
  <si>
    <t>PENGADAAN ALAT-ALAT KESEHATAN (OTSUS-RSUD) 2018</t>
  </si>
  <si>
    <t>PENGADAAN OBAT DAN PERBEKALAN KESEHATAN (OTSUS-RSUD) 2018</t>
  </si>
  <si>
    <t>PENINGKATAN PEMERATAAN OBAT DAN PERBEKALAN KESEHATAN (OTSUS) 2018</t>
  </si>
  <si>
    <t>PENGADAAN ALAT ULTRA SONO GRAFI ( USG) (OTSUS) 2018</t>
  </si>
  <si>
    <t>PROGRAM UPAYA KESEHATAN MASYARAKAT</t>
  </si>
  <si>
    <t>PELATIHAN TENAGA LABORATORIUM (OTSUS-RSUD) 2018</t>
  </si>
  <si>
    <t>PELATIHAN PENCEGAHAN DAN PENGENDALIAN INFEKSI BAGI TENAGA KESEHATAN (OTSUS-RSUD) 2018</t>
  </si>
  <si>
    <t>PELAYANAN OPERASI KATARAK (OTSUS) 2018</t>
  </si>
  <si>
    <t>PELAYANAN KESEHATAN PADA KAMPUNG TERBANG, PERAHU DAN JALAN KAKI (OTSUS) 2018</t>
  </si>
  <si>
    <t>PELAYANAN KESEHATAN KAKI TELANJANG (OTSUS) 2018</t>
  </si>
  <si>
    <t>PELAYANAN DOKER SPESIALIS BAGI MASYARAKAT (OTSUS) 2018</t>
  </si>
  <si>
    <t>RUJUKAN PASIEN (OTSUS) 2018</t>
  </si>
  <si>
    <t>PELATIHAN ULTRA SONO GARAFI ( USG ) BAGI TENAGA BIDAN (OTSUS) 2018</t>
  </si>
  <si>
    <t>PROGRAM PROMOSI KESEHATAN DAN PEMBERDAYAAN MASYARAKAT</t>
  </si>
  <si>
    <t>PENYULUHAN POLA HIDUP BERSIH DAN SEHAT (PHBS) DAN PENYAKIT MENULAR (OTSUS-RSUD) 2018</t>
  </si>
  <si>
    <t>PENYULUHAN POLA HIDUP BERSIH DAN SEHAT DAN PENYAKIT MENULAR (OTSUS) 2018</t>
  </si>
  <si>
    <t>PROGRAM PERBAIKAN GIZI MASYARAKAT</t>
  </si>
  <si>
    <t>PEMBERIAN MAKANAN TAMBAHAN BAYI,BALITA,BUMIL (OTSUS-RSUD) 2018</t>
  </si>
  <si>
    <t>PEMBERIAN SUSU BAGI PENDERITA HIV/AIDS DAN TB (OTSUS) 2018</t>
  </si>
  <si>
    <t>PEMBERIAN MAKANAN TAMBAHAN BAGI IBU HAMIL,BAYI,BALITA 1000 HARI KEHIDUPAN (OTSUS) 2018</t>
  </si>
  <si>
    <t>PROGRAM PENCEGAHAN DAN PENANGGULANGAN PENYAKIT MENULAR</t>
  </si>
  <si>
    <t>PELATIHAN DAN PEMERIKSAAN MALARIA (OTSUS) 2018</t>
  </si>
  <si>
    <t>MANAJEMEN KETERSEDIAAN VAKSIN DAN TEMPAT PENYEDIAAN VAKSIN (OTSUS) 2018</t>
  </si>
  <si>
    <t>PEMERIKSAAN HIV- AIDS (OTSUS) 2018</t>
  </si>
  <si>
    <t>PELATIHAN SITT (OTSUS) 2018</t>
  </si>
  <si>
    <t>DISTRIBUSI KELAMBU DAN DISTRIBUSI OBAT FILARIASIS (OTSUS) 2018</t>
  </si>
  <si>
    <t>DINAS PEKERJAAN UMUM DAN PERUMAHAN RAKYAT</t>
  </si>
  <si>
    <t>PROGRAM PEMBANGUNAN JALAN DAN JEMBATAN</t>
  </si>
  <si>
    <t>PEMBANGUNAN/PENINGKATAN DAN PEMELIHARAAN JALAN DAN JEMBATAN DI LINGKUNGAN KAMPUNG OAP (OTSUS)</t>
  </si>
  <si>
    <t>PROGRAM PENGEMBANGAN PERUMAHAN</t>
  </si>
  <si>
    <t>PEMBANGUNAN RUMAH LAYAK HUNI BAGI MASYARAKAT ASLI PAPUA (OTSUS)</t>
  </si>
  <si>
    <t>PROGRAM  PERENCANAAN PEMBANGUNAN DAERAH</t>
  </si>
  <si>
    <t>MONITORING, EVALUASI DAN PELAPORAN PELAKSANAAN RENCANA PEMBANGUNAN DAERAH (OTSUS)</t>
  </si>
  <si>
    <t>DINAS PERHUBUNGAN</t>
  </si>
  <si>
    <t>PROGRAM PEMBANGUNAN PRASARANA DAN FASILITAS PERHUBUNGAN</t>
  </si>
  <si>
    <t>PERPANJANGAN LAPANGAN TERBANG KIYAGE (OTSUS)</t>
  </si>
  <si>
    <t>DINAS LINGKUNGAN HIDUP PERKEBUNAN DAN PETERNAKAN</t>
  </si>
  <si>
    <t>PROGRAM PENINGKATAN PEMASARAN HASIL PRODUKSI PERTANIAN/PERKEBUNAN</t>
  </si>
  <si>
    <t>PROMOSI ATAS HASIL PERKEBUNAN UNGGULAN (OTSUS)</t>
  </si>
  <si>
    <t>PROGRAM PENINGKATAN PRODUKSI PERTANIAN/PERKEBUNAN</t>
  </si>
  <si>
    <t>PERKEMBANGAN PERTANIAN PADA LAHAN KERING TANAMAN KOPI (OTSUS)</t>
  </si>
  <si>
    <t>PROGRAM PENINGKATAN PRODUKSI HASIL PETERNAKAN</t>
  </si>
  <si>
    <t>PENGEMBANGAN BUDI DAYA TERNAK BABI (OTSUS)</t>
  </si>
  <si>
    <t>DINAS PEMBERDAYAAN PEREMPUAN DAN KELUARGA BERENCANA</t>
  </si>
  <si>
    <t>PROGRAM PENGUATAN KELEMBAGAAN PENGARUSUTAMAAN GENDER DAN ANAK</t>
  </si>
  <si>
    <t>ADVOKASI DAN FASILITASI PUGA BAGI LEGISLATIF DAN EKSEKUTIF (OTSUS)</t>
  </si>
  <si>
    <t>PROGRAM PENINGKATAN KUALITAS HIDUP DAN PERLINDUNGAN PEREMPUAN</t>
  </si>
  <si>
    <t>FASILITASI UPAYA PERLINDUNGAN PEREMPUAN TERHADAP TINDAK KEKERASAN (OTSUS)</t>
  </si>
  <si>
    <t>SOSIALISASI PEMBERANTASAN BUTA AKSARA PEREMPUAN (OTSUS)</t>
  </si>
  <si>
    <t>PROGRAM PENINGKATAN PERAN SERTA DAN KESETARAAN JENDER DALAM PEMBANGUNAN</t>
  </si>
  <si>
    <t>PELATIHAN PENGOLAHAN MINYAK BUAH MERAH  DI DISTRIK PAGALEME DAN WURAK (OTSUS)</t>
  </si>
  <si>
    <t>SOSIALISASI KESETARAAN KEADILAN GENDER SERTA PEMERIKSAAN PAPSMEAR BAGI PEREMPUAN OAP (OTSUS)</t>
  </si>
  <si>
    <t>PROGRAM KELUARGA BERENCANA</t>
  </si>
  <si>
    <t>PENYEDIAAN PELAYANAN KB DAN ALAT KONTRASEPSI BAGI KELUARGA MISKIN (OTSUS)</t>
  </si>
  <si>
    <t>PEMBINAAN KELUARGA BERENCANA (OTSUS)</t>
  </si>
  <si>
    <t xml:space="preserve">PROGRAM PROMOSI KESEHATAN IBU, BAYI DAN ANAK MELALUI KELOMPOK KEGIATAN DI MASYARAKAT </t>
  </si>
  <si>
    <t>FASILITASI PEMBENTUKAN PIK REMAJA (OTSUS)</t>
  </si>
  <si>
    <t>PROGRAM PEMBERDAYAAN KELEMBAGAAN KESEJAHTERAAN SOSIAL</t>
  </si>
  <si>
    <t>OPERASIONAL ASRAMA DAN PENGURUS KMPPJ/IMAPUJA (OTSUS)</t>
  </si>
  <si>
    <t>PENYEDIAAN BIAYA PENUNJANG PELAYANAN HAMBA-HAMBA TUHAN (OTSUS)</t>
  </si>
  <si>
    <t>BANTUAN PENUNJANG PENDIDIKAN TINGGI (OTSUS)</t>
  </si>
  <si>
    <t>PENDISTRIBUSIAN BERAS RASKIN KABUPATEN PUNCAK JAYA (OTSUS)</t>
  </si>
  <si>
    <t>SOSIALISASI 10 HUKUM/LARANGAN OLEH HAMBA TUHAN DI KLASIS GIDI MULIA, KLASIS YAMO, KLASIS YALU, KLASIS RUFAER (OTSUS)</t>
  </si>
  <si>
    <t>PEMBERIAN BANTUAN USAHA BERSAMA OAP KELUARGA MISKIN (OTSUS)</t>
  </si>
  <si>
    <t>PENDATAAN DAN MONITORING MAHASISWA (OTSUS)</t>
  </si>
  <si>
    <t>PROGRAM PENINGKATAN KETAHANAN PANGAN PERTANIAN/PERKEBUNAN</t>
  </si>
  <si>
    <t>PENGEMBANGAN DESA MANDIRI PANGAN (OTSUS 2018)</t>
  </si>
  <si>
    <t>PEMANFAATAN PEKARANGAN OLEH KELOMPOK WANITA TANI INTENSIFIKASI PEMELIHARAAAN TERNAK SAPI MASYARAKAT (OTSUS)</t>
  </si>
  <si>
    <t>DINAS TENAGA KERJA</t>
  </si>
  <si>
    <t>PROGRAM PEMBINAAN DAN PENGEMBANGAN BIDANG KETENAGALISTRIKAN</t>
  </si>
  <si>
    <t>PEMBANGUNAN PLTMH/PLTA KAMPUNG KULIRIK,  KARUBATE DAN DONDOBAGA DISTRIK MUARA (OTSUS)</t>
  </si>
  <si>
    <t>DINAS KOPERASI DAN USAHA KECIL MENENGAH DAN PENANAMAN MODAL</t>
  </si>
  <si>
    <t>PROGRAM PENGEMBANGAN KEWIRAUSAHAAN DAN KEUNGGULAN KOMPETITIF USAHA KECIL MENENGAH</t>
  </si>
  <si>
    <t>PELATIHAN PENGEMBANGAN KEWIRAUSAHAAN (OTSUS 2018)</t>
  </si>
  <si>
    <t>BANTUAN PENGUATAN MODAL USAHA (OTSUS)</t>
  </si>
  <si>
    <t>BADAN KESATUAN BANGSA, POLITIK DAN PERLINDUNGAN MASYARAKAT</t>
  </si>
  <si>
    <t>PROGRAM PENGEMBANGAN WAWASAN KEBANGSAAN</t>
  </si>
  <si>
    <t>PENINGKATAN KESADARAN MASYARAKAT AKAN NILAI-NILAI LUHUR BUDAYA BANGSA (OTSUS)</t>
  </si>
  <si>
    <t>DINAS PEMBERDAYAAN MASYARAKAT KAMPUNG</t>
  </si>
  <si>
    <t>PROGRAM PENINGKATAN KEBERDAYAAN MASYARAKAT PEDESAAN</t>
  </si>
  <si>
    <t>PENYULUHAN DAN SOSIALISA KEPADA MASYARAKAT KAMPUNG ADAT TENTANG HAK ASAL USUL / HAK TRADISIONAL YANG DIAKUI PEMERINTAH (OTSUS)</t>
  </si>
  <si>
    <t>AFIRMASI LEMBAGA MASYARAKAT ADAT (OTSUS)</t>
  </si>
  <si>
    <t>DINAS PERTANIAN DAN PERIKANAN</t>
  </si>
  <si>
    <t>PENYEDIAAN PRASARANA PRODUKSI PERTANIAN TANAMAN PANGAN (OTSUS)</t>
  </si>
  <si>
    <t>PENGEMBANGAN LAHAN PERTANIAN TANAMAN HORTIKULTURA (OTSUS)</t>
  </si>
  <si>
    <t>PROGRAM PENGEMBANGAN BUDIDAYA PERIKANAN</t>
  </si>
  <si>
    <t>PENYEDIAAN INDUK/BENIH CALON INDUK UNGGUL UNTUK KELOMPOK HSRT (OTSUS)</t>
  </si>
  <si>
    <t>PENYEDIAAN PAKAN INDUK UNTUK KELOMPOK HSRT (OTSUS)</t>
  </si>
  <si>
    <t>DINAS PARIWISATA PEMUDA DAN OLAHRAGA</t>
  </si>
  <si>
    <t>PROGRAM PENINGKATAN PERAN SERTA KEPEMUDAAN</t>
  </si>
  <si>
    <t>PEMBINAAN ORGANISASI KEPEMUDAAN (OTSUS)</t>
  </si>
  <si>
    <t>DINAS PERINDUSTRIAN DAN PERDAGANGAN</t>
  </si>
  <si>
    <t>PROGRAM PENINGKATAN EFISIENSI PERDAGANGAN DALAM NEGERI</t>
  </si>
  <si>
    <t>PEMBANGUNAN SARANA DAN PRASARANA PASAR SENTRAL MULIA (1) (OTSUS) 2018</t>
  </si>
  <si>
    <t>PEMBANGUNAN SARANA DAN PRASARANA PASAR SENTRAL MULIA (2) (OTSUS) 2018</t>
  </si>
  <si>
    <t>PROGRAM PENGEMBANGAN INDUSTRI KECIL DAN MENENGAH</t>
  </si>
  <si>
    <t>PELATIHAN DEPO AIR MINUM (OTSUS) 2018</t>
  </si>
  <si>
    <t>PENGEMBANGAN PRASARANA FISIK PERDAGANGAN UMKM (OTSUS) 2018</t>
  </si>
  <si>
    <t>9</t>
  </si>
  <si>
    <t>KABUPATEN MIMIKA</t>
  </si>
  <si>
    <t>Kegiatan Penyediaan Jasa Administrasi Perkantoran</t>
  </si>
  <si>
    <t>Kegiatan Penyelenggaraan Paket C setara SMA</t>
  </si>
  <si>
    <t>Kegiatan Pemberian Tambahan Makanan dan Vitamin</t>
  </si>
  <si>
    <t xml:space="preserve"> Program Manejemen Pelayanan Pendidikan</t>
  </si>
  <si>
    <t>Kegiatan Pelaksanaan Kerjasama Secara Kelembagaan di Bidang Pendidikan</t>
  </si>
  <si>
    <t xml:space="preserve"> Program Pendidikan Menengah</t>
  </si>
  <si>
    <t xml:space="preserve">Kegiatan Pembangunan Laboratorium dan ruang praktikum sekolah,  laboratorium bahasa, komputer, IPA, IPS </t>
  </si>
  <si>
    <t>Penyelenggaraan Multi-Grade Teaching di Daerah pencil</t>
  </si>
  <si>
    <t>Pembangunan Rumah Dinas Kepala Sekolah, guru, penjaga sekolah</t>
  </si>
  <si>
    <t>Penambahan Ruang Kelas</t>
  </si>
  <si>
    <t>Pendidikan Usaha Dini</t>
  </si>
  <si>
    <t>Pengadaan Meubeler Sekolah</t>
  </si>
  <si>
    <t>Dukungan Beasiswa S1 Mahasiswa OAP berprestasi secara terbatas untuk jurusan yang sangat dibutuhkan dalam pembangunan daerah</t>
  </si>
  <si>
    <t>Badan Sumber Daya Manusia</t>
  </si>
  <si>
    <t>Kegiatan Penyediaan Bantuan Operasional Manejemen Mutu (BOMM)</t>
  </si>
  <si>
    <t>Kegiatan Pemberian Jaminan Kesehatan Kepada Orang Asli Papua</t>
  </si>
  <si>
    <t>Kegiatan Pelayanan Kesehatan Kampung Siaga (Kontrak Dokter dan Pelayanan Lainnya)</t>
  </si>
  <si>
    <t>Kegiatan Bantuan Operasional Kesehatan, Upaya Kesehatan Rujukan dan Pelayanan Kesehatan Ibu dan Anak</t>
  </si>
  <si>
    <t xml:space="preserve"> Kegiatan Peningkatan Manejemen Puskesmas</t>
  </si>
  <si>
    <t>Kegiatan Pemberian Makanan dan Vitamin</t>
  </si>
  <si>
    <t>Program Penanggulangan TBC, Malaria, Filaria, Kusta, Tainisis, dan Penyakit tidak menular</t>
  </si>
  <si>
    <t>Kegiatan Penanggulangan TBC, Malaria, Filaria, Kusta, Tainisis, dan Penyakit tidak menular</t>
  </si>
  <si>
    <t xml:space="preserve"> Program Pengadaan, Peningkatan, dan perbaikan sarana dan prasarana Puskesmas/Puskesmas Pembantu dan Jaringannya</t>
  </si>
  <si>
    <t>Kegiatan Pengadaan Alat Kesehatan (alkes)</t>
  </si>
  <si>
    <t>Kegiatan Pencegahan dan Pemberantasan IMS dan HIV/AIDS Penyakit Menular</t>
  </si>
  <si>
    <t>Program Pengadaan, Peningkatan, dan perbaikan sarana dan prasarana Puskesmas/Puskesmas Pembantu dan Jaringannya</t>
  </si>
  <si>
    <t>Kegiatan Pengadaan Sarana Prasarana Puskesmas</t>
  </si>
  <si>
    <t>Kegiatan Penanggulangan Masalah Kesehatan Masyarakat Asli Papua</t>
  </si>
  <si>
    <t>Dinas Perumahan, Kawasan Pemukiman dan Pertanahan</t>
  </si>
  <si>
    <t>Kegiatan Pembangunan Sarana Prasarana Rumah Sederhana Sehat</t>
  </si>
  <si>
    <t>Kegiatan Jasa Transportasi Bagi Masyarakat</t>
  </si>
  <si>
    <t>Kegiatan Jasa Cargo Bagi Masyarakat</t>
  </si>
  <si>
    <t>Kegiatan Jasa Transportasi Laut/Sungai Bagi Masyarakat</t>
  </si>
  <si>
    <t>Kegiatan Koordinasi Penyusunan Laporan URD/RD OTSUS</t>
  </si>
  <si>
    <t>Kegiatan Monitoring, Evaluasi dan Pelaporan</t>
  </si>
  <si>
    <t>INSPEKTORAT DAERAH</t>
  </si>
  <si>
    <t>Kegiatan Pegawasan Internal Secara Berkala</t>
  </si>
  <si>
    <t>DINAS PEMBERDAYAAN PEREMPUAN, PERLINDUNGAN ANAK DAN KB</t>
  </si>
  <si>
    <t>Program Keserasian Kebijakan Peningkatan Kualitas Anak dan Perempuan</t>
  </si>
  <si>
    <t>Kegiatan Pelaksanaan Sosilisasi Yang Terkait Dengan Kesetaraan Gender, Pemberdayaan Perempuan dan Anak (OAP)</t>
  </si>
  <si>
    <t>Kegiatan Pembinaan Keluarga Berencana</t>
  </si>
  <si>
    <t xml:space="preserve"> Kegiatan Penyuluhan Bagi Ibu Rumah Tangga Dalam Membangun Keluarga Sejahtera</t>
  </si>
  <si>
    <t>Program Peningkatan Peran Serta dan Kesetaraan Jender Dalam Pembangunan</t>
  </si>
  <si>
    <t>Kegiatan Ppendidikan dan Pelatihan Peningkatan Peran Serta dan Kesetaraan Jender (OAP)</t>
  </si>
  <si>
    <t>Kegiatan Pemberdayaan Lembaga Yang Berbasis Gender</t>
  </si>
  <si>
    <t>Program Peningkatan Kepercayaan terhadap Tuhan Yang Maha Esa</t>
  </si>
  <si>
    <t>Kegiatan Peningkatan Sarana dan Prasarana Peribadatan</t>
  </si>
  <si>
    <t>Program Pemberdayaan Fakir Miskin, Komunitas Adat Terpencil dan Penyandang Maslah Kesejahteraan Sosial (PMKS) lainnya</t>
  </si>
  <si>
    <t>Kegiatan Pelatihan dan Pemberian Paket Bantuan Kelompok Usaha Bersama (KUBE) Perikanan</t>
  </si>
  <si>
    <t>Kegiatan Pengembangan Lumbung/Cadangan Pangan Masyarakat Spesifik Lokal</t>
  </si>
  <si>
    <t>DINAS PEMBERDAYAAN MASYARKAT DAN KAMPUNG</t>
  </si>
  <si>
    <t>Kegiatan Pelatihan dan Ketrampilan Usaha Industri Kerajinan</t>
  </si>
  <si>
    <t>DINAS KOPERASI DAN USAHA KECIL MENENGAH</t>
  </si>
  <si>
    <t>Program Gerakan Kebangkitan Ekonomi Masyarakat Sejahtera</t>
  </si>
  <si>
    <t>Kegiatan Fasilitasi Dukungan Pemodalan dan Penjamin Usaha</t>
  </si>
  <si>
    <t>Kegiatan Pengembangan UMKM Pengelola SDA Lokal</t>
  </si>
  <si>
    <t>Program Pengambang Perikanan Tangkap</t>
  </si>
  <si>
    <t>Kegiatan Pembinaan Kelompok Ekonomi Masyarakat Pesisir</t>
  </si>
  <si>
    <t>Penyediaan peralatan tangkap bagi nelayan orang asli papua (OAP)</t>
  </si>
  <si>
    <t>DINAS PERKEBUNAN, TANAMAN PANGAN DAN HOLTIKULTURA</t>
  </si>
  <si>
    <t>Kegiatan Pelatihan Petani dan Pelaku Agribisnis</t>
  </si>
  <si>
    <t>Kegiatan Pengembangan KomoditasUnggulan Holtikultura Spesifik Papua Pengembangan Buah Merah</t>
  </si>
  <si>
    <t xml:space="preserve"> Kegiatan Penyuluhan Peningkatan Produksi Pertanian/Perkebunan</t>
  </si>
  <si>
    <t>Kegiatan Pengembangan Komoditas Unggulan Perkebunan Spesifik Papua (sagu)</t>
  </si>
  <si>
    <t>Kegiatan Pengembangan Komoditas Unggulan Tananman Pangan Spesifik Papua (umbi-umbian)</t>
  </si>
  <si>
    <t>Kegiatan Intensifikasi Penataan Dusun Sagu dan Kerjasama Kelembagaan Bidang Pendidikan (IPB)</t>
  </si>
  <si>
    <t>Kegiatan Peningkatan Sarana Prasarana Perkebunan</t>
  </si>
  <si>
    <t>DINAS PETERNAKAN DAN KESEHATAN HEWAN</t>
  </si>
  <si>
    <t>Program Peningkatan Produksi Hasil Perternakan</t>
  </si>
  <si>
    <t>Kegiatan Pendistribusian bibit ternak kepada masyarakat</t>
  </si>
  <si>
    <t>Kegiatan Pengembangan Agribisnis Peternakan</t>
  </si>
  <si>
    <t>Kegiatan Sarana dan Prasarana Tempat Penampungan Anak Terlantar</t>
  </si>
  <si>
    <t>KABUPATEN BOVEN DIGOEL</t>
  </si>
  <si>
    <t>Penyelenggaraan PAUD Non-Formal dan Formal (OTSUS)</t>
  </si>
  <si>
    <t>Pengadaan makanan tambahan siswa berbahan lokal sesuai dengan usia tumbuh kembang anak (OTSUS)</t>
  </si>
  <si>
    <t>Penyediaan tunjangan khusus guru di daerah terpencil dan terisolir (OTSUS)</t>
  </si>
  <si>
    <t>Pembangunan rumah guru dan kepala sekolah serta perlengkapannya (OTSUS)</t>
  </si>
  <si>
    <t>Pelatihan Kompetensi khusus bagi tenaga pendidik dan kependidikan, termasuk life skill pencegahan HIV/AIDS (OTSUS)</t>
  </si>
  <si>
    <t>Pengadaan buku penunjang pembelajaran dan pengayaan siswa (OTSUS)</t>
  </si>
  <si>
    <t>Penyediaan insentif guru dengan prioritas guru non-PNS atau PNS yang belum bersertifikasi (OTSUS)</t>
  </si>
  <si>
    <t>Pengadaan meubelair dan perlengkapan pendukung untuk ruang kelas, ruang guru, UKS, perpustakaan, asrama (OTSUS)</t>
  </si>
  <si>
    <t>Program Wajib Belajar Pendidikan Dasar 9 Tahun (Jenjang SMP)</t>
  </si>
  <si>
    <t>Pengadaan makan dan minum siswa/siswi SMP berasrama berbasis komoditas lokal (OTSUS)</t>
  </si>
  <si>
    <t>Pembangunan SMP Reguler/berasrama (OTSUS)</t>
  </si>
  <si>
    <t>Biaya Operasional pendukung kegiatan ekstrakurikuler (OTSUS)</t>
  </si>
  <si>
    <t>Program Pendidikan Non-Formal dan In-Formal (OTSUS)</t>
  </si>
  <si>
    <t>Penyediaan biaya operasional bagi lembaga penyelenggara KF (OTSUS)</t>
  </si>
  <si>
    <t>Perlindungan, pembinaan dan pengembangan kebudayaan Asli Papua (OTSUS)</t>
  </si>
  <si>
    <t>Pengadaan obat dan Pengiriman ke puskesmas dan jaringannya termasuk obat ARV (OTSUS)</t>
  </si>
  <si>
    <t>Bantuan Operasional Kesehatan, Upaya Kesehatan Rujukan, dan Pelayanan Kesehatan Ibu dan Anak( OTSUS )</t>
  </si>
  <si>
    <t xml:space="preserve"> Peningkatan Kualitas Pelayanan ( OTSUS )</t>
  </si>
  <si>
    <t>Pemberian makanan tambahan kepada bayi, Balita  dan Ibu Hamil ( OTSUS )</t>
  </si>
  <si>
    <t>KIE pemanfaatan menu seimbang dan lokal setempat ( OTSUS )</t>
  </si>
  <si>
    <t>Sanitasi Berbasis Masyarakat (OTSUS)</t>
  </si>
  <si>
    <t>Pencegahan dan Pemberantasan IMS dan HIV/Aids ( OTSUS )</t>
  </si>
  <si>
    <t>Penanggulangan TBC, Malaria, Frambusia, Kusta, Taeniasis, Penyakit Tidak Menular (OTSUS)</t>
  </si>
  <si>
    <t>Program Peningkatan Pelayanan Kesehatan ibu Melahirkan dan Anak ( OTSUS )</t>
  </si>
  <si>
    <t>Peningkatan Pemeliharaan Kesehatan bagi Ibu dan Bayi Baru Lahir OAP ( OTSUS )</t>
  </si>
  <si>
    <t>RUMAH SAKIT UMUM DAERAH</t>
  </si>
  <si>
    <t>Program Peningkatan Kesehatan Perorangan</t>
  </si>
  <si>
    <t>'Peningkatan pelayanan kesehatan (OTSUS)</t>
  </si>
  <si>
    <t>DINAS PERUMAHAN, KAWASAN PERMUKIMAN, LINGKUNGAN HIDUP DAN PERTANAHAN</t>
  </si>
  <si>
    <t>Pembinaan dan Pemberdayaan Komunitas Adat Terpencil (OTSUS)</t>
  </si>
  <si>
    <t>Pemberian Jaminan Hidup bagi OAP Penyandang Masalah Kesejahteraan Sosial (OTSUS)</t>
  </si>
  <si>
    <t>Pendidikan dan pelatihan ketrampilan bagi pencari kerja khusus Orang Asli Papua (OTSUS)</t>
  </si>
  <si>
    <t>Program peningkatan peran serta dan kesetaraan jender dalam pembangunan</t>
  </si>
  <si>
    <t>Kegiatan pembinaan organisasi perempuan</t>
  </si>
  <si>
    <t>Penyuluhan Sumber Pangan Spesifik Lokal (OTSUS)</t>
  </si>
  <si>
    <t>Penganekaragaman Pangan Spesifik Lokal (OTSUS)</t>
  </si>
  <si>
    <t>Pemanfaatan Pekarangan oleh Kelompok Wanita Tani OAP (OTSUS)</t>
  </si>
  <si>
    <t>Pengembangan Database Kependudukan OAP (OTSUS)</t>
  </si>
  <si>
    <t>Peningkatan Perlindungan Hak Reproduksi Individu</t>
  </si>
  <si>
    <t>Pembinaan Keluarga Berencana</t>
  </si>
  <si>
    <t>Penyuluhan bagi Ibu Rumah Tangga dalam Membangun Keluarga Sejahtera</t>
  </si>
  <si>
    <t>DINAS KOPERASI, USAHA KECIL DAN MENENGAH,  PERINDUSTRIAN DAN PERDAGANGAN</t>
  </si>
  <si>
    <t>Peningkatan kualitas pelayanan dan pemenuhan standar/ketentuan pengelolaan koperasi (OTSUS)</t>
  </si>
  <si>
    <t>Pembinaan Koperasi peran serta masyarakat adat asli Papua (KOPERMAS)</t>
  </si>
  <si>
    <t>Program pengembangan kewirausahaan dan keuanggulan kompetitif UKM</t>
  </si>
  <si>
    <t>Fasilitasi dukungan permodalan dan penjaminan usaha (OTSUS)</t>
  </si>
  <si>
    <t>Program Pembinaan dan Pendampingan Pelaku Usaha Ekonomi Kerakyatan (OTSUS)</t>
  </si>
  <si>
    <t>DINAS TANAMAN PANGAN, HORTIKULTURA , PETERNAKAN DAN PERIKANAN</t>
  </si>
  <si>
    <t>Pembinaan kelompok ekonomi masyarakat pesisir (OTSUS)</t>
  </si>
  <si>
    <t>Pengembangan Bibit Ikan Unggul (OTSUS)</t>
  </si>
  <si>
    <t>Pembinaan dan pengembangan prasarana budidaya perikanan air tawar (OTSUS)</t>
  </si>
  <si>
    <t>Penyediaan Peralatan Tangkap bagi Nelayan OAP (OTSUS)</t>
  </si>
  <si>
    <t>Pengembangan/Pembangunan dan Rehabilitasi Sarana Budidaya Air Tawar/Payau (OTSUS)</t>
  </si>
  <si>
    <t>Peningkatan Produksi dan Produktivitas Tanaman Pangan dan Hortikultura (OTSUS)</t>
  </si>
  <si>
    <t>Pengembangan sarana dan prasarana pertanian tanaman pangan dan holtikultura (OTSUS)</t>
  </si>
  <si>
    <t>Peningkatan produksi dan produktivitas tanaman pangan dan holtikultura (OTSUS)</t>
  </si>
  <si>
    <t>Pengadaan Teknologi Pertanian/Perkebunan Tepat Guna (OTSUS)</t>
  </si>
  <si>
    <t>Pelatihan dan Bimbingan Pengoperasian Teknologi Pertanian/Perkebunan (OTSUS)</t>
  </si>
  <si>
    <t>Pembangunan sarana dan prasarana pembibitan ternak (OTSUS)</t>
  </si>
  <si>
    <t>Pembelian dan pendistribusian vaksin dan pakan ternak (OTSUS)</t>
  </si>
  <si>
    <t>Pelatihan dan Bimbingan Penerapan Teknologi Peternakan Tepat Guna (OTSUS)</t>
  </si>
  <si>
    <t>Peningkatan Pengetahuan dan Ketrampilan Petani (OTSUS)</t>
  </si>
  <si>
    <t>DINAS PERKEBUNAN</t>
  </si>
  <si>
    <t>Pembangunan Pusat-Pusat Penampungan Produksi Hasil Perkebunan Komoditas Spasifik Papua yang akan dipasarkan (OTSUS)</t>
  </si>
  <si>
    <t>Penyuluhan Kualitas dan Teknis Kemasan Hasil Produksi Perkebunan masyarakat Asli Papua yang akan dipasarkan (OTSUS)</t>
  </si>
  <si>
    <t>Perluasan Areal Komoditas perkebunan (OTSUS)</t>
  </si>
  <si>
    <t>Pengembangan komoditas unggulan perkebunan spesifik Papua (OTSUS)</t>
  </si>
  <si>
    <t>Pengembangan sarana dan prasarana perkebunan (OTSUS)</t>
  </si>
  <si>
    <t>Program Peningkatan Sumber Daya Perkebunan</t>
  </si>
  <si>
    <t>BADAN PERENCANAAN, PENELITIAN, DAN PENGEMBANGAN PEMBANGUNAN DAERAH</t>
  </si>
  <si>
    <t>Penyusunan URD/RD Dana OTSUS (OTSUS)</t>
  </si>
  <si>
    <t>SKPKD</t>
  </si>
  <si>
    <t>Program Pemberdayaan Kelembagaan Kesejahteraan Sosial (OTSUS)</t>
  </si>
  <si>
    <t>Pemberian Operasional Pengawas</t>
  </si>
  <si>
    <t>Biaya pengganti SPP  SD 102 Sekolah   (11.495 murid x 12 Bulan)</t>
  </si>
  <si>
    <t>Biaya pengganti SPP  SMP  15 Sekolah (3.121  murid x 12 Bulan)</t>
  </si>
  <si>
    <t>Biaya Operasional Pendidikan (SD)</t>
  </si>
  <si>
    <t>Biaya Operasional Pendidikan (SMP)</t>
  </si>
  <si>
    <t>KABUPATEN MAPPI</t>
  </si>
  <si>
    <t>DINAS PENDIDIKAN DAN PENGAJARAN</t>
  </si>
  <si>
    <t>PEMBANGUNAN SARANA DAN PRASARANA BERMAIN</t>
  </si>
  <si>
    <t>PENGEMBANGAN PENDIDIKAN ANAK USIA DINI</t>
  </si>
  <si>
    <t>PEMBANGUNAN GEDUNG SEKOLAH</t>
  </si>
  <si>
    <t>PEMBANGUNAN RUMAH DINAS KEPALA SEKOLAH,GURU,PENJAGA SEKOLAH</t>
  </si>
  <si>
    <t>PENAMBAHAN RUANG GURU SEKOLAH</t>
  </si>
  <si>
    <t>PEMBANGUNAN SARANA DAN PRASARANA OLAHRAGA</t>
  </si>
  <si>
    <t>PEMBANGUNAN PERPUSTAKAAN SEKOLAH</t>
  </si>
  <si>
    <t>PENGADAAN MEBELUER SEKOLAH</t>
  </si>
  <si>
    <t>PENYEDIAAN BUKU PELAJARAN UNTUK SD/MI/SDLB DAN SMP/MTS</t>
  </si>
  <si>
    <t>PENYELENGGARAAN PAKET A SETARA SD</t>
  </si>
  <si>
    <t>PENYELENGGARAAN PAKET B SETARA SMP</t>
  </si>
  <si>
    <t>PENYEDIAAN GURU KONTRAK</t>
  </si>
  <si>
    <t>PROGRAM PENDIDIKAN MENENGAH</t>
  </si>
  <si>
    <t>PEMBANGUNAN RUMAH DINAS KEPALA SEKOLAH, GURU, PENJAGA SEKOLAH</t>
  </si>
  <si>
    <t>PENGEMBANGAN ALTERNATIF LAYANAN PENDIDIKAN MENENGAH UNTUK DAERAH PEDESAAN, TERPENCIL DAN KEPULAUAN</t>
  </si>
  <si>
    <t>PENYELENGGARAAN PAKET C SETARA SMU</t>
  </si>
  <si>
    <t>PELATIHAN KOMPETENSI SISWA BERPRESTASI</t>
  </si>
  <si>
    <t>PENYEDIAAN GURU KONTRAK (SMK)</t>
  </si>
  <si>
    <t xml:space="preserve">
PEMBERDAYAAN TENAGA PENDIDIK NON FORMAL</t>
  </si>
  <si>
    <t>PEMBERIAN BANTUAN OPERASIONAL PENDIDIKAN NON FORMAL</t>
  </si>
  <si>
    <t>PENGEMBANGAN PENDIDIKAN KEAKSARAAN</t>
  </si>
  <si>
    <t>PENGEMBANGAN PENDIDIKAN KECAKAPAN HIDUP</t>
  </si>
  <si>
    <t>PROGRAM MANAJEMEN PELAYANAN PENDIDIKAN</t>
  </si>
  <si>
    <t>FASILITASI PENDIDIKAN TINGGI</t>
  </si>
  <si>
    <t xml:space="preserve">
MONITORING, EVALUASI DAN PELAPORAN</t>
  </si>
  <si>
    <t>PENGEMBANGAN MEDIA PROMOSI DAN INFORMASI SADAR HIDUP SEHAT</t>
  </si>
  <si>
    <t>PENDATAAN PENGEMBANGAN UPAYA KESEHATAN BERBASIS MASYARAKAT (UKBM)</t>
  </si>
  <si>
    <t>PEMBERIAN TAMBAHAN MAKANAN DAN VITAMIN</t>
  </si>
  <si>
    <t>PENANGGULANGAN KURANG ENERGI PROTEIN (KEP), ANEMIA GIZI BESI, GANGGUANAKIBAT KURANG YODIUM (GAKY), KURANG VITAMIN A, &amp; KEKURANGAN ZAT GIZI MIKRO AKIBAT KURANG YODIUM (GAKY), KURANG VITAMIN A, &amp; KEKURANGAN ZAT GIZI MIKRO LAINNYA</t>
  </si>
  <si>
    <t xml:space="preserve">
PENYEMPROTAN/FOGGING SARANG NYAMUK</t>
  </si>
  <si>
    <t>PENINGKATAN IMUNISASI</t>
  </si>
  <si>
    <t>PENINGKATAN SURVEILLANCE EPIDEMIOLOGI DAN PENANGGULANGAN WABAH</t>
  </si>
  <si>
    <t>MONITORING, EVALUASI DAN PELAPORAN</t>
  </si>
  <si>
    <t>RUJUKAN PASIEN PENYAKIT MENULAR</t>
  </si>
  <si>
    <t>PELAYANAN DAN PENCEGAHAN PENANGGULANGAN PENYAKIT MENULAR MALARIA DAN DBD</t>
  </si>
  <si>
    <t>PELAYANAN PENCEGAHAN DAN PENANGGULANGAN PENYAKIT MENULAR KUSTA</t>
  </si>
  <si>
    <t>PELAYANAN PENCEGAHAN DAN PENANGGULANGAN PENYAKIT MENULAR TUBERCOLOSIS (TBC)</t>
  </si>
  <si>
    <t>PELAYANAN PENCEGAHAN DAN PENANGGULANGAN PENYAKIT MENULAR IMS DAN HIV-AIDS</t>
  </si>
  <si>
    <t>PROGRAM PELAYANAN KESEHATAN PENDUDUK MISKIN</t>
  </si>
  <si>
    <t>MONITORING DAN EVALUASI</t>
  </si>
  <si>
    <t>PELAYANAN DALAM DAN LUAR GEDUNG PUSKESMAS/PUSKESMAS KELILING</t>
  </si>
  <si>
    <t>PROGRAM PENGADAAN, PENINGKATAN DAN PERBAIKAN SARANA &amp; PRASARANA PUSKESMAS/PUSTU &amp; JARINGAN NYA</t>
  </si>
  <si>
    <t xml:space="preserve">
PENGADAAN PUSKESMAS PERAIRAN</t>
  </si>
  <si>
    <t>PENGADAAN SARANA DAN PRASARANA PUSKESMAS</t>
  </si>
  <si>
    <t>PROGRAM PENINGKATAN KESELAMATAN IBU MELAHIRKAN</t>
  </si>
  <si>
    <t xml:space="preserve">
PERAWATAN SECARA BERKALA BAGI IBU HAMIL BAGI KELUARGA KURANG MAMPU</t>
  </si>
  <si>
    <t>PERTOLONGAN PERSALINAN BAGI IBU HAMIL DARI KELUARGA KURANG MAMPU</t>
  </si>
  <si>
    <t>RUJUKAN IBU HAMIL RESIKO TINGGI</t>
  </si>
  <si>
    <t>PROGRAM SUMBER DAYA KESEHATAN</t>
  </si>
  <si>
    <t>PENINGKATAN KUALITAS TENAGA KESEHATAN PUSKESMAS DAN JARINGANNYA</t>
  </si>
  <si>
    <t>PROGRAM JAMINAN KESEHATAN MASYARAKAT ASLI PAPUA</t>
  </si>
  <si>
    <t>PENANGGULANGAN MASALAH KESEHATAN MASYARAKAT ASLI PAPUA</t>
  </si>
  <si>
    <t>DINAS PERUMAHAN DAN PEMUKIMAN RAKYAT</t>
  </si>
  <si>
    <t>PEMBANGUNAN SARANA DAN PRASARANA RUMAH SEDERHANA SEHAT</t>
  </si>
  <si>
    <t>PROGRAM PEMBINAAN DAN PENGEMBANGAN BIDANG KETENAGA LISTRIKAN</t>
  </si>
  <si>
    <t>PENGEMBANGAN KETENAGA LISTRIKAN</t>
  </si>
  <si>
    <t xml:space="preserve">
PROGRAM PEMBERDAYAAN FAKIR MISKIN, KOMUNITAS ADAT TERPENCIL (KAT) DAN PENYANDANG MASALAH KESEJAHTERAAN SOSIAL (PMKS)</t>
  </si>
  <si>
    <t>PENYEDIAAN SARANA DAN PRASARANA LEMBAGA KEAGAMAAN</t>
  </si>
  <si>
    <t>DINAS PEMBERDAYAAN PEREMPUAN, PERLINDUNGAN ANAK, PENGENDALIAN DAN BINA KB</t>
  </si>
  <si>
    <t>PEMBENTUKAN PUSAT PELAYANAN TERPADU PEMBERDAYAAN PEREMPUAN DAN ANAK (P2TP2A)</t>
  </si>
  <si>
    <t>PRAGRAM PENINGKATAN PERAN SERTA DAN KESETARAAN JENDER DALAM PEMBANGUNAN</t>
  </si>
  <si>
    <t>PENDIDIKAN DAN PELATIHAN PENINGKATAN PERAN SERTA DAN KESETARAAN GENDER</t>
  </si>
  <si>
    <t>PEMBINAAN BIMBINGAN MANAJEMEN USAHA BAGI PEREMPUAN DALAM MENGELOLA USAHA</t>
  </si>
  <si>
    <t>PROGRAM PENINGKATAN KETAHANAN PANGAN (PERTANIAN/PERKEBUNAN)</t>
  </si>
  <si>
    <t xml:space="preserve">
PENANGANAN DAERAH RAWAN PANGAN</t>
  </si>
  <si>
    <t>PENGEMBANGAN LUMBUNG PANGAN DESA</t>
  </si>
  <si>
    <t>PENYULUHAN SUMBER PANGAN ALTERNATIF</t>
  </si>
  <si>
    <t>PENGANEKARAGAMAN PANGAN SPESIFIK PANGAN LOKAL</t>
  </si>
  <si>
    <t>PEMANFAATAN PEKARANGAN OLEH KELOMPOK WANITA TANI OAP</t>
  </si>
  <si>
    <t>PROGRAM PENATAAN ADMINISTRASI KEPENDUDUKAN</t>
  </si>
  <si>
    <t>PENGEMBANGAN DATA BASE KEPENDUDUKAN</t>
  </si>
  <si>
    <t>PEMBERDAYAAN LEMBAGA DAN ORGANISASI MASYARAKAT PERDESAAN</t>
  </si>
  <si>
    <t>DINAS KEPEMUDAAN, OLAHRAGA, KEBUDAYAAN DAN PARIWISATA</t>
  </si>
  <si>
    <t>PERLINDUNGAN, PEMBINAAN DAN PENGEMBANGAN KEBUDAYAAN ASLI PAPUA</t>
  </si>
  <si>
    <t>PROGRAM PEMBERDAYAAN EKONOMI MASYARAKAT PESISIR</t>
  </si>
  <si>
    <t xml:space="preserve">
PEMBINAAN DAN PENGEMBANGAN PERIKANAN</t>
  </si>
  <si>
    <t>PEMBINAAN DAN PENGEMBANGAN PRASARANA BUDIDAYA PERIKANAN AIR TAWAR</t>
  </si>
  <si>
    <t>PROGRAM PENGEMBANGAN PERIKANAN TANGKAP</t>
  </si>
  <si>
    <t>PROGRAM PENINGKATAN SUMBERDAYA PETANI</t>
  </si>
  <si>
    <t xml:space="preserve">
PELATIHAN PETANI DAN PELAKU AGRIBISNIS</t>
  </si>
  <si>
    <t>PENINGKATAN KEMAMPUAN LEMBAGA PETANI</t>
  </si>
  <si>
    <t>PROGRAM PENINGKATAN KETAHANAN PANGAN PERTANIAN</t>
  </si>
  <si>
    <t>PENINGKATAN PRODUKSI DAN PRODUKTIVITAS TANAMAN PANGAN DAN HOLTIKULTURA</t>
  </si>
  <si>
    <t>PROGAM PENINGKATAN PRODUKSI PERTANIAN/PERKEBUNAN</t>
  </si>
  <si>
    <t xml:space="preserve">
PENYEDIAAN SARANA PRODUKSI PERTANIAN/PERKEBUNAN</t>
  </si>
  <si>
    <t>PENGEMBANGAN BIBIT UNGGUL PERTANIAN/PERKEBUNAN</t>
  </si>
  <si>
    <t>PENDISTRIBUSIAN BIBIT TERNAK KEPADA MASYARAKAT</t>
  </si>
  <si>
    <t>PENYULUHAN PENGELOLAAN BIBIT TERNAK YANG DIDISTRIBUSIKAN KEPADA MASYARAKAT</t>
  </si>
  <si>
    <t>DINAS PERDAGANGAN, KOPERASI, USAHA KECIL DAN MENENGAH</t>
  </si>
  <si>
    <t>PROGRAM PENGEMBANGAN KEWIRAUSAHAAN DAN KEUNGGULAN KOMPETITIF USAHA MIKRO KECIL MENENGAH</t>
  </si>
  <si>
    <t>PROGRAM PENINGKATAN KUALITAS KELEMBAGAAN KOPERASI</t>
  </si>
  <si>
    <t>PENINGKATAN KUALITAS PELAYANAN DAN PEMENUHAN STANDAR/KETENTUAN PENGELOLAAN KOPERASI</t>
  </si>
  <si>
    <t>PROGRAM PEMBINAAN DAN PENDAMPING PELAKU USAHA EKONOMI KERAKYATAN</t>
  </si>
  <si>
    <t xml:space="preserve">PEMBERIAN BANTUAN FASILITAS DAN PERMODALAN </t>
  </si>
  <si>
    <t>DINAS PERINDUSTRIAN DAN TENAGA KERJA</t>
  </si>
  <si>
    <t>PROGRAM PENINGKATAN KUALITAS DAN PRODUKSI TENAGA KERJA</t>
  </si>
  <si>
    <t>PENDIDIKAN DAN PELATIHAN KETRAMPILAN BAGI PENCARI KERJA ASLI PAPUA</t>
  </si>
  <si>
    <t xml:space="preserve">
PROGRAM PENGEMBANGAN KEWIRAUSAHAAN DAN KEUNGGULAN KOMPETITIF USAHA</t>
  </si>
  <si>
    <t xml:space="preserve">
FASILITASI DUKUNGAN PERMODALAN DAN PENJAMINAN USAHA</t>
  </si>
  <si>
    <t>BADAN PERENCANAAN DAN PEMBANGUNAN DAERAH</t>
  </si>
  <si>
    <t>PROGRAM PERENCANAAN PEMBANGUNAN DAERAH</t>
  </si>
  <si>
    <t>MONITORING, EVALUASI DAN PELAPORAN PELAKSANAAN RENCANA PEMBANGUNAN DAERAH</t>
  </si>
  <si>
    <t xml:space="preserve">BELANJA HIBAH </t>
  </si>
  <si>
    <t>BELANJA HIBAH KEPADA BADAN/LEMBAGA/ORGANISASI</t>
  </si>
  <si>
    <t>BELANJA BANTUAN SOSIAL</t>
  </si>
  <si>
    <t>BELANJA BANTUAN SOSIAL KEPADA KELOMPOK MASYARAKAT</t>
  </si>
  <si>
    <t>KABUPATEN ASMAT</t>
  </si>
  <si>
    <t>DINAS PENDIDIKAN TIPE B</t>
  </si>
  <si>
    <t>KEGIATAN PENGADAAN ALAT PRAKTIK DAN ALAT PERAGA</t>
  </si>
  <si>
    <t>KEGIATAN PENGADAAN BUKU-BUKU DAN ALAT TULIS SISWA</t>
  </si>
  <si>
    <t>KEGIATAN PENGADAAN MEUBELAIR SEKOLAH</t>
  </si>
  <si>
    <t>KEGIATAN PENYELENGGARAAN BELAJAR MENGAJAR SEKOLAH</t>
  </si>
  <si>
    <t>KEGIATAN PENYEDIAAN DANA PENGEMBANGAN SEKOLAH UNTUK SD/MI DAN SMP/MTS</t>
  </si>
  <si>
    <t>KEGIATAN PEMBINAAN MINAT, BAKAT DAN KREATIFITAS SISWA</t>
  </si>
  <si>
    <t>KEGIATAN PELATIHAN KOMPETENSI SISWA BERPRESTASI</t>
  </si>
  <si>
    <t>KEGIATAN PENYELENGGARAAN PENDIDIKAN BERPOLA ASRAMA</t>
  </si>
  <si>
    <t>KEGIATAN PENYELENGGARAAN KERJASAMA SECARA KELEMBAGAAN DALAM PENGELOLAAN PENDIDIKAN MENENGAH</t>
  </si>
  <si>
    <t>KEGIATAN PENGADAAN PERLENGKAPAN SEKOLAH</t>
  </si>
  <si>
    <t>KEGIATAN PENGADAAN ALAT RUMAH TANGGA SEKOLAH</t>
  </si>
  <si>
    <t>KEGIATAN PELAKSANAAN OLIMPIADE SAINS NASIONAL (OSN) JENJANG SMP DAN SMA TINGKAT PROPINSI</t>
  </si>
  <si>
    <t>KEGIATAN PENYEDIAAN SARANA DAN PRASARANA PENDIDIKAN NON FORMAL</t>
  </si>
  <si>
    <t>KEGIATAN KEGIATAN PEMBERANTASAN BUTA HURUF (PBH) DI KABUPATEN ASMAT</t>
  </si>
  <si>
    <t>KEGIATAN PENDIDIKAN SISTEM GANDA (PSG)/PRAKARYA SMK N</t>
  </si>
  <si>
    <t>DINAS KESEHATAN TIPE A</t>
  </si>
  <si>
    <t>PROGRAM PELAYANAN ADMINISTRASI PERKANTORAN</t>
  </si>
  <si>
    <t>KEGIATAN PENYEDIAAN JASA ADMINISTRASI KEUANGAN</t>
  </si>
  <si>
    <t>KEGIATAN PENGADAAN OBAT DAN PERBEKALAN</t>
  </si>
  <si>
    <t>KEGIATAN PENYEDIAAN BIAYA OPERASIONAL</t>
  </si>
  <si>
    <t>PROGRAM PENINGKATAN KESELAMATAN IBU MELAHIRKAN DAN ANAK</t>
  </si>
  <si>
    <t>KEGIATAN PERAWATAN SECARA BERKALA BAGI IBU HAMIL KELUARGA KURANG MAMPU</t>
  </si>
  <si>
    <t>RUMAH SAKIT UMUM DAERAH KELAS D</t>
  </si>
  <si>
    <t>KEGIATAN RUJUKAN PASIEN</t>
  </si>
  <si>
    <t>KEGIATAN MAKAN MINUM PASIEN RAWAT INAP DI RSUD</t>
  </si>
  <si>
    <t>DINAS PEKERJAAN UMUM DAN PENATAAN RUANG TIPE A</t>
  </si>
  <si>
    <t>PROGRAM PENYEDIAAN DAN PENGELOLAAN AIR BAKU</t>
  </si>
  <si>
    <t>KEGIATAN BIAYA OPERASIONAL DAN PEMELIHARAAN MESIN POMPA YKPA, INTAKE DAN IPA</t>
  </si>
  <si>
    <t>PROGRAM PEMBANGUNAN INFRASTRUKTUR PERDESAAN</t>
  </si>
  <si>
    <t>KEGIATAN PEMBANGUNAN JALAN JEMBATAN LINGKUNGAN</t>
  </si>
  <si>
    <t>DINAS PERUMAHAN RAKYAT, KAWASAN PERMUKIMAN DAN PERTANAHAN TIPE B</t>
  </si>
  <si>
    <t>PROGRAM PENGEMBANGAN PERUMAHAN RAKYAT DAN PENYEDIAAN AIR BERSIH</t>
  </si>
  <si>
    <t>KEGIATAN PEMBANGUNAN RUMAH MASYARAKAT TYPE 45 M2 (OTSUS)</t>
  </si>
  <si>
    <t>BADAN PERENCANAAN PEMBANGUNAN DAN PENELITIAN PENGEMBANGAN DAERAH TIPE A</t>
  </si>
  <si>
    <t>KEGIATAN KOORDINASI PERENCANAAN PEMBANGUNAN DANA OTSUS, MONITORING DAN EVALUASI PENGGUNAAN DANA OTSUS DANKONSULTASI DAN EVALUASI URD OTSUS</t>
  </si>
  <si>
    <t>DINAS PERHUBUNGAN TIPE B</t>
  </si>
  <si>
    <t>KEGIATAN PENGADAAN SARANA DAN PRASARANA ANGKUTAN</t>
  </si>
  <si>
    <t>DINAS PEMBERDAYAAN PEREMPUAN DAN KELUARGA BERENCANA TIPE B</t>
  </si>
  <si>
    <t>KEGIATAN WORKSHOP PENINGKATAN OAP DALAM PENGAMBILAN KEPUTUSAN</t>
  </si>
  <si>
    <t>PROGRAM PENINGKATAN KUALITAS ANAK DAN PEREMPUAN</t>
  </si>
  <si>
    <t>KEGIATAN KEGIATAN SOSIALISASI UU KDRT</t>
  </si>
  <si>
    <t>KEGIATAN SOSIALISASI DAN ADVOKASI KEBIJAKAN PENGHAPUSAN BUTA AKSARA</t>
  </si>
  <si>
    <t>KEGIATAN KEGIATAN PELATIHAN PENYULUH PARALEGAL DAN PEREMPUAN &amp; ANAK</t>
  </si>
  <si>
    <t>KEGIATAN PELATIHAN BAGI PELATIH (TOT) SDM PELAYANAN DAN PENDAMPINGAN</t>
  </si>
  <si>
    <t>KEGIATAN SOSIALISASI DAN PEMBENTUKAN PENGURUS UPTD P2TP2A TINGKAT DISTRIK</t>
  </si>
  <si>
    <t>PROGRAM PENINGKATAN PERAN DAN KESETARAAN GENDER DALAM PEMBANGUNAN</t>
  </si>
  <si>
    <t>KEGIATAN PEMBERDAYAAN KELOMPOK YANG BERBASIS GENDER DI SEKTOR PERTANIAN</t>
  </si>
  <si>
    <t>KEGIATAN KEGIATAN PENDIDIKAN DAN PELATIHAN PENINGKATAN PERAN SERTA DAN KESETARAAN GENDER</t>
  </si>
  <si>
    <t>KEGIATAN BIMBINGAN MANAJEMEN USAHA BAGI PEREMPUAN OAP DALAM MENGELOLA USAHA</t>
  </si>
  <si>
    <t>KEGIATAN PENGADAAN ALAT PENGEBORAN AKSESORIS + TANGKAI ANTING (KELOMPOK KERAJINAN)</t>
  </si>
  <si>
    <t>DINAS SOSIAL TIPE B</t>
  </si>
  <si>
    <t>KEGIATAN PEMBANGUNAN SARANA DAN PRASARANA PERIBADATAN</t>
  </si>
  <si>
    <t>BADAN PENGELOLAAN KEUANGAN DAN ASET DAERAH TIPE A</t>
  </si>
  <si>
    <t>BELANJA PEGAWAI</t>
  </si>
  <si>
    <t>INSPEKTORAT KABUPATEN TIPE A</t>
  </si>
  <si>
    <t>PROGRAM PENINGKATAN SISTEM PENGAWASAN INTERNAL DAN PENGENDALIAN PELAKSANAAN KEBIJAKAN KDH</t>
  </si>
  <si>
    <t>KEGIATAN PELAKSANAAN PENGAWASAN INTERNAL SECARA BERKALA</t>
  </si>
  <si>
    <t>DINAS TANAMAN PANGAN DAN PERTANIAN TIPE A</t>
  </si>
  <si>
    <t>PENINGKATAN SUMBER DAYA PETANI</t>
  </si>
  <si>
    <t>KEGIATAN PELATIHAN BAGI KELOMPOK TANI</t>
  </si>
  <si>
    <t>KEGIATAN DEMONSTRASI PLOT (DEMPLOT)</t>
  </si>
  <si>
    <t>KEGIATAN KAJI TERAP MODEL PERTANIAN ORANG PAPUA</t>
  </si>
  <si>
    <t>KEGIATAN PELATIHAN PETANI BUDIDAYA TANAMAN PALAWIJA</t>
  </si>
  <si>
    <t>KEGIATAN PELATIHAN PETANI HORTIKULTURA</t>
  </si>
  <si>
    <t>KEGIATAN PELATIHAN SUMBER PANGAN ALTERNATIF</t>
  </si>
  <si>
    <t>KEGIATAN PELATIHAN PETANI BOKASI DAN PESTISIDA NABATI</t>
  </si>
  <si>
    <t>KEGIATAN PENGEMBANGAN TANAMAN UMBI-UMBIAN</t>
  </si>
  <si>
    <t>KEGIATAN PENGEMBANGAN SARANA DAN PRASARANA PERTANIAN TANAMAN PANGAN DAN HORTIKULTURA</t>
  </si>
  <si>
    <t>KEGIATAN PENGEMBANGAN TANAMAN HORTIKULTURA</t>
  </si>
  <si>
    <t>KEGIATAN PENGADAAN BENIH SAYURAN</t>
  </si>
  <si>
    <t>KEGIATAN PEMBUKAAN LAHAN BARU</t>
  </si>
  <si>
    <t>KEGIATAN OPTIMASI LAHAN</t>
  </si>
  <si>
    <t>KEGIATAN PENGADAAN BIBIT BUAH-BUAHAN</t>
  </si>
  <si>
    <t>KEGIATAN PENDAMPINGAN PENANAMAN PADI</t>
  </si>
  <si>
    <t>KEGIATAN PENGEMBANGAN TANAMAN PALAWIJA</t>
  </si>
  <si>
    <t>PENINGKATAN TEKNOLOGI PERTANIAN</t>
  </si>
  <si>
    <t>KEGIATAN PENGADAAN SARANA DAN PRASARANA TEKNOLOGI PERTANIAN TEPAT GUNA</t>
  </si>
  <si>
    <t>PENINGKATAN HASIL PRODUKSI DAN TEKNOLOGI PETERNAKAN</t>
  </si>
  <si>
    <t>KEGIATAN PENINGKATAN POPULASI,PRODUKSI DAN DISTRIBUSI PETERNAKAN</t>
  </si>
  <si>
    <t>KEGIATAN BUDIDAYA AYAM KAMPUNG</t>
  </si>
  <si>
    <t>KEGIATAN PELATIHAN AGRIBISNIS PETERNAKAN</t>
  </si>
  <si>
    <t>KEGIATAN PELATIHAN PENGOLAHAN BIBIT TERNAK YANG DIDISTRIBUSIKAN KEPADA MASYARAKAT</t>
  </si>
  <si>
    <t>KEGIATAN PEMBUATAN DEMPLOT KANDANGTERNAK</t>
  </si>
  <si>
    <t>PENINGKATAN KAPASITAS SUMBER DAYA PETERNAK DAN APARATUR</t>
  </si>
  <si>
    <t>KEGIATAN PENDAMPINGAN WADAH KELOMPOK TANI DAN WANITA TANI TERNAK</t>
  </si>
  <si>
    <t>KEGIATAN MAGANG BUDIDAYA TERNAK BABI</t>
  </si>
  <si>
    <t>KEGIATAN PENDAMPINGAN BUDIDAYA TERNAK</t>
  </si>
  <si>
    <t>PROGRAM PENINGKATAN KETAHANAN PANGAN PERKEBUNAN</t>
  </si>
  <si>
    <t>KEGIATAN PENGEMBANGAN TANAMAN SAGU</t>
  </si>
  <si>
    <t>PROGRAM PENINGKATAN PRODUKSI PERKEBUNAN</t>
  </si>
  <si>
    <t>KEGIATAN PENGEMBANGAN TANAMAN KELAPA</t>
  </si>
  <si>
    <t>KEGIATAN PEMELIHARAAN TANAMAN KELAPA</t>
  </si>
  <si>
    <t>KEGIATAN PEMELIHARAAN TANAMAN KOPI</t>
  </si>
  <si>
    <t>DINAS PARIWISATA DAN KEBUDAYAAN TIPE B</t>
  </si>
  <si>
    <t>PROGRAM PENGEMBANGAN PEMASARAN PARIWISATA</t>
  </si>
  <si>
    <t>KEGIATAN ANALISA PASAR UNTUK PROMOSI DAN PEMASARAN OBJEK WISATA</t>
  </si>
  <si>
    <t>DINAS KELAUTAN DAN PERIKANAN TIPE A</t>
  </si>
  <si>
    <t>KEGIATAN PENDAMPINGAN MASYARAKAT PESISIR</t>
  </si>
  <si>
    <t>KEGIATAN PELATIHAN TEKNIK BUDIDAYA IKAN</t>
  </si>
  <si>
    <t>KEGIATAN PELATIHAN TEKNIK PERKOLAMAN</t>
  </si>
  <si>
    <t>PROGRAM PENINGKATAN PRASARANA DAN SARANA PROUKSI SDKP</t>
  </si>
  <si>
    <t>KEGIATAN PENINGKATAN SARANA PRODUKSI PERIKANAN TANGKAP</t>
  </si>
  <si>
    <t>KEGIATAN PENINGKATAN SARANA PRODUKSI PERIKANAN BUDIDAYA</t>
  </si>
  <si>
    <t>DINAS PERINDUSTRIAN, PERDAGANGAN, KOPERASI, USAHA KECIL MENENGAH DAN TENAGA KERJA TIPE A</t>
  </si>
  <si>
    <t>PROGRAM PEMBINAAN DAN PENDAMPINGAN PELAKU USAHA EKONOMI KERAKYATAN</t>
  </si>
  <si>
    <t>KEGIATAN PEMBERIAN BANTUAN FASILITAS DAN PERMODALAN</t>
  </si>
  <si>
    <t>KEGIATAN PENINGKATAN KUALITAS PELAYANAN DAN PEMENUHAN STANDART/KETENTUAN PENGELOLAAN KOPERASI</t>
  </si>
  <si>
    <t>PROGRAM PENGEMBANGAN KEWIRAUSAHAAN DAN KEUNGGULAN KOMPETITIF UKM</t>
  </si>
  <si>
    <t>KEGIATAN PENCIPTAAN KEWIRAUSAHAAN BARU KHUSUSNYA WIRAUSAHAAN ASLI PAPUA</t>
  </si>
  <si>
    <t>KABUPATEN YAHUKIMO</t>
  </si>
  <si>
    <t>Penyediaan insentif Guru Bantu PAUD, TK (OTSUS)</t>
  </si>
  <si>
    <t>Penyediaan insentif Guru Pendidik Non PNS (PSW &amp; Guru Agama)(OTSUS)</t>
  </si>
  <si>
    <t>Program Wajib Belajar Pendidikan Dasar Sembilan Tahun (Jenjang SD)</t>
  </si>
  <si>
    <t>Pengadaan biaya operasional sekolah kampung terpadu berupa  biaya operasional penyelenggaraan/BOP sekolah dasar/SD (OTSUS)</t>
  </si>
  <si>
    <t>Penyelenggaraan Pengolaan Data Dapodik (OTSUS)</t>
  </si>
  <si>
    <t>Pendampingan Sasaran Kurikulum 2013 Tahun 2018 Tingkat SD, SMP, SMA (OTSUS)</t>
  </si>
  <si>
    <t>Penyusunan Soal Ujian Sekolah SD &amp; SMP (OTSUS)</t>
  </si>
  <si>
    <t>Pelatihan, Bimbingan &amp; Penyusunan Dokumen I &amp; II Kurikulum Tingkat Satuan Pendidikan) SD &amp; SMP (OTSUS)</t>
  </si>
  <si>
    <t>Pelatihan kompetensi khusus bagi tenaga pendidik dan kependidikan, termasuk life skill pencegahan HIV/AIDS - Pelaksanaan Kualifikasi pendidik dan tenaga kependidikan (SD 20 guru, SMP 4 guru, TK 3 Guru) (OTSUS)</t>
  </si>
  <si>
    <t>Pelaksanaan Ujian Kompetensi Awal (UKA) dan Uji Kompetensi Guru (UKG) untuk calon Peserta Sertifikasi Guru di Dekai &amp; Wamena (OTSUS)</t>
  </si>
  <si>
    <t>Pelaksanaan seleksi calon pengawas dan penilik sekolah (OTSUS)</t>
  </si>
  <si>
    <t>Kelompok Kerja Kepala Sekolah (KKKS) dan Musyawarah Kerja Kepala Sekolah (MKKS) (OTSUS)</t>
  </si>
  <si>
    <t>TOT Guru dan Pendampingan 9 MAPEL Olimpiade Sains Nasional (OSN) (OTSUS)</t>
  </si>
  <si>
    <t>Seleksi Guru dan Tenaga Kependidikan (GTK) Berprestasi dan Berdedikasi (GTK di Daerah Khusus) (OTSUS)</t>
  </si>
  <si>
    <t xml:space="preserve"> Supervisi dan Evaluasi Pengawas SD, SMP, SMA, SMK, SMTK/SLB (OTSUS)</t>
  </si>
  <si>
    <t>Supervisi dan Evaluasi penilik Sekolah pada 21 PKBM, 20 PAUD (OTSUS)</t>
  </si>
  <si>
    <t>Pelaksanaan kelompok kerja guru (OTSUS)</t>
  </si>
  <si>
    <t xml:space="preserve"> Penimbunan halaman SD Inpres Dekai (OTSUS)</t>
  </si>
  <si>
    <t xml:space="preserve"> Pembangunan Pagar SD Inpres Dekai Tahap II (OTSUS)</t>
  </si>
  <si>
    <t xml:space="preserve"> Pembangunan Gedung SD Yapesli Suele (OTSUS)</t>
  </si>
  <si>
    <t xml:space="preserve"> Penerbitan Sertifikat Tanah Satuan Pendidikan SD (100 SD) (OTSUS)</t>
  </si>
  <si>
    <t>. Pengadaan Buku Muatan Lokal untuk Kelas I Tingkat SD, SMP yang akan disusun (SD 2 Muatan Lokal, SMP 2 Muatan Lokal, SMA 2 Muatan Lokal, SMK 2 Muatan Lokal, SMTK 2 Muatan Lokal) (OTSUS)</t>
  </si>
  <si>
    <t>Pengadaan buku pegangan Guru &amp; Siswa (semua mata pelajaran dan Tema) Tingkat SD &amp; SMP untuk sekolah pelaksana kurikulum 2013 pada tahun 2018 (OTSUS)</t>
  </si>
  <si>
    <t xml:space="preserve"> Pelaksanaan REMEDIAL untuk persiapan Ujian (OTSUS)</t>
  </si>
  <si>
    <t xml:space="preserve"> Pelaksanaan Pekan Olahraga dan Seni (PORSENI) antar sekolah dasar se-kota Dekai (OTSUS)</t>
  </si>
  <si>
    <t xml:space="preserve"> Pembangunan rumah dinas guru dan kepala sekolah serta perlengkapannya di (SDN Nisikni, SD Inpres Pini, SD Inpres Sanggalpunu, SD Suntamon)</t>
  </si>
  <si>
    <t>Pelaksanaan Diklat Profesi Guru pola PLPG di LPMP Provinsi Papua &amp; Universitas Negeri Makassar (Sertifikasi Guru) (OTSUS)</t>
  </si>
  <si>
    <t>Penyediaan insentif Guru Bantu SD (OTSUS)</t>
  </si>
  <si>
    <t>Program Wajib Belajar Pendidikan Dasar 9 Tahun (SMP)</t>
  </si>
  <si>
    <t>Biaya operasional pendukung kegiatan ekstrakulikuler Kegiatan Pembinaan Pramuka (OTSUS)</t>
  </si>
  <si>
    <t>Pembangunan rumah dinas guru dan kepala sekolah serta perlengkapannya (OTSUS)</t>
  </si>
  <si>
    <t>Penyediaan Dana Penerbitan Sertifikat Tanah Satuan Pendidikan SMP (OTSUS)</t>
  </si>
  <si>
    <t xml:space="preserve"> Pelaksanaan Ujian Nasional Ta. Pelajaran 2018/2019 pada 53 Sub Rayon (OTSUS)</t>
  </si>
  <si>
    <t xml:space="preserve"> Pelaksanaan penilaian Siswa Berprestasi (Olimpiade Sains Siswa Nasional/O2SN) Tingkat SMP (OTSUS)</t>
  </si>
  <si>
    <t>Biaya operasional pendukung kegiatan ekstrakulikuler melalui Pembelajaran berbasis Internet (OTSUS)</t>
  </si>
  <si>
    <t>Penyediaan insentif Guru Bantu SMP (OTSUS)</t>
  </si>
  <si>
    <t xml:space="preserve"> Program Pendidikan Menengah Atas (SMA)</t>
  </si>
  <si>
    <t>Penilaian Siswa Berprestasi (Olimpiade Sains Siswa Nasional/O2SN) Tingkat SMA (OTSUS)</t>
  </si>
  <si>
    <t>Pelaksanaan Lomba Kreatifitas Siswa (LKS) Tingkat SMK (OTSUS)</t>
  </si>
  <si>
    <t>Operasional Penyelenggaraan/BOP  SMA, SMK &amp; SMTK (HIBAH) (OTSUS)</t>
  </si>
  <si>
    <t>Biaya Pengganti SPP (Sekolah Gratis) SMA, SMK &amp; SMTK (HIBAH)  (OTSUS)</t>
  </si>
  <si>
    <t>Penyusunan Profil Pendidikan (Website Pendidikan) (OTSUS)</t>
  </si>
  <si>
    <t>Pembangunan Rumah Dinas Guru SMAN Ninia dan SMAN Anggruk (OTSUS)</t>
  </si>
  <si>
    <t>Pembangunan SMA reguler/berasrama SMA Negeri Anggruk (OTSUS)</t>
  </si>
  <si>
    <t>Penerbitan Sertifikat Tanah Satuan Pendidikan SMA (OTSUS)</t>
  </si>
  <si>
    <t xml:space="preserve"> Penyediaan insentif Guru Bantu SMA, dan SMK (OTSUS)</t>
  </si>
  <si>
    <t>Pembangunan SMK untuk program keahlian sesuai analisa kebutuhan pasar kerja dan keunggulan daerah melalui pengembangan Sekolah berkonsep Agro Industri SMKN 1 Dekai (OTSUS)</t>
  </si>
  <si>
    <t xml:space="preserve"> Penerbitan Sertifikat Tanah Satuan Pendidikan SMK/SLB (HIBAH) SMKN 1 Dekai, SMKN 2 Terpadu Dekai, SMK Yapesli Suele Dekai, SMTK Orien Kidd, SMTK Philipus (OTSUS)</t>
  </si>
  <si>
    <t xml:space="preserve"> Penyediaan biaya hidup dan tempat tinggal bagi siswa diluar domisili yang bersekolah di SMK tidak berasrama (OTSUS)</t>
  </si>
  <si>
    <t xml:space="preserve"> Program Pendidikan Non-Formal dan In-Formal</t>
  </si>
  <si>
    <t xml:space="preserve"> Penyediaan biaya operasional bagi lembaga penyelenggara KF (OTSUS)</t>
  </si>
  <si>
    <t xml:space="preserve"> Pelaksanaan Ujian Paket A,B dan C (OTSUS)</t>
  </si>
  <si>
    <t>Pengembangan Materi/bahan Ajar Tuntas Buta Aksara yakni Pengadaan Buku Berbasis Bahasa Lokal ( GKI Buku Nare-Nare  1 s.d Nare 10) &amp; (Buku Omoso  1 s.d 7) &amp; ( Kimyal Buku Buta Huruf 1 s.d 10 ) (OTSUS)</t>
  </si>
  <si>
    <t>Pelaksanaan Tuntas Buta Aksara (TUBA) meliputi : TOT Tutor, Seragam Tutor, Life Skill, Keterampilan Beternak dan Berkebun (OTSUS)</t>
  </si>
  <si>
    <t xml:space="preserve"> Pemberian Insentif Tutor Pemberantasan Buta Aksara (OTSUS)</t>
  </si>
  <si>
    <t xml:space="preserve">Program Pendidikan Tinggi </t>
  </si>
  <si>
    <t xml:space="preserve"> Penyediaan Dana Sewa Kontrak Asrama Maasiswa Yahukimo Se Indonesia (OTSUS)</t>
  </si>
  <si>
    <t>Pengadaan Lahan Asrama Mahasiswa Yahukimo di Jayapura (OTSUS)</t>
  </si>
  <si>
    <t xml:space="preserve"> Rehabilitasi Berat Asrama Yahukimo (Asrama Limborang) di Jayapura (OTSUS)</t>
  </si>
  <si>
    <t>Bantuan Biaya Mahasiswa Penerbangan (PILOT) diFilipina (OTSUS)</t>
  </si>
  <si>
    <t>Program Peningkatan Kemitraan Kesehatan Masyarakat</t>
  </si>
  <si>
    <t>Penyediaan Jasa Tenaga Paramedis Eks Misi (OTSUS)</t>
  </si>
  <si>
    <t>Penyediaan Jasa Tenaga Medis Non PNS (Dokter PTT Daerah dan Bidan PTT Daerah) (OTSUS)</t>
  </si>
  <si>
    <t>Pengawasan Obat dan Makanan (OTSUS)</t>
  </si>
  <si>
    <t>Koordinasi dan Sinkronisasi Sistem Rujukan dan Pembiayaan</t>
  </si>
  <si>
    <t>Pelatihan Manajemen dan Tatalaksana Program Imunisasi Tingkat Puskesmas dan Rumah Sakit kepada Petugas Jurim dan Pengelola Vaksin</t>
  </si>
  <si>
    <t>Sosialisasi dan Pendataan Jenis Tanaman Obat Tradisional di Kabupaten Yahukimo</t>
  </si>
  <si>
    <t xml:space="preserve"> Sosialisasi dan Pendataan Jenis Tanaman Obat Tradisional di Kabupaten Yahukimo</t>
  </si>
  <si>
    <t>Program PHBS dan UKS Pada Murid Sekolah Dasar dan SLTP di Distrik Dekai</t>
  </si>
  <si>
    <t xml:space="preserve"> Penyuluhan Masyarakat, Pola Hidup Sehat di Kabupaten Yahukimo</t>
  </si>
  <si>
    <t>Penanggulangan Gizi Buruk Balita KEP dan Ibu hamil KEK di Puskesmas</t>
  </si>
  <si>
    <t>Pengendalian Malaria di 1 Puskesmas Endemis (OTSUS)</t>
  </si>
  <si>
    <t>Pelatihan Analis Program ATM 4 org (OTSUS)</t>
  </si>
  <si>
    <t>Penanggulangan HIV/AIDS di 2 UPT (Puskesmas Dekai dan RSUD Dekai)</t>
  </si>
  <si>
    <t>Penanggulangan Penyakit TB Baru di 2 UPT (Puskesmas Dekai dan RSUD Dekai)</t>
  </si>
  <si>
    <t>Sosialisasi Lanjutan Penanggulangan Penyakit Filariasis di 33 Puskesmas</t>
  </si>
  <si>
    <t>Sosialisasi Tentang Penyakit Tidak Menular (PTM) Tingkat Puskesmas dan Rumah Sakit</t>
  </si>
  <si>
    <t>KANTOR RUMAH SAKIT UMUM DAERAH</t>
  </si>
  <si>
    <t>Pengadaan Alat dan Reagensia Laboratorium (OTSUS)</t>
  </si>
  <si>
    <t xml:space="preserve"> Pengadaan Bahan Medis Habis Pakai (OTSUS)</t>
  </si>
  <si>
    <t>Pengadaan Obat - Obatan</t>
  </si>
  <si>
    <t>Pemberian Makanan Tambahan/Susu Formula (Orang Papua) OTSUS</t>
  </si>
  <si>
    <t>Pengadaan Pakaian &amp; Perlengkapan Bayi (Orang Papua) OTSUS</t>
  </si>
  <si>
    <t>Penyediaan Jasa Tenaga Medis Non PNS (OTSUS)</t>
  </si>
  <si>
    <t>Program pembangunan infrastruktur pedesaaan</t>
  </si>
  <si>
    <t>Pembangunan Jembatan Penghubung Langda - Kampung Wasurmuji</t>
  </si>
  <si>
    <t>Pembangunan Jembatan Gantung Kali Yesu Atas</t>
  </si>
  <si>
    <t xml:space="preserve"> Rehab Berat Jembatan Kali Yahuli </t>
  </si>
  <si>
    <t xml:space="preserve"> Pembangunan Jembatan Kali Yahuli Distrik Ubalihi</t>
  </si>
  <si>
    <t xml:space="preserve"> Pembangunan Jembatan Gantung Kali Ubahak</t>
  </si>
  <si>
    <t>Pembangunan Jembatan Gantung Kali Muba Distrik Silimo</t>
  </si>
  <si>
    <t>Pembangunan Jembatan Gantung Kali Yahuli Distrik Hereapini</t>
  </si>
  <si>
    <t xml:space="preserve"> Pembangunan Jembatan Gantung Kali Wet Distrik Werima</t>
  </si>
  <si>
    <t>Pembangunan Jembatan Gantung Kali Tesul Distrik Korupun</t>
  </si>
  <si>
    <t>Pembangunan Intake, Bak Penampungan dan Pipa Induk Saluran Air Bersih Distrik Langda</t>
  </si>
  <si>
    <t>Pembangunan Intake , Bak Penampungan dan Pipa Induk Saluran Air Bersih Distrik Soba</t>
  </si>
  <si>
    <t>Pembangunan Intake, Bak Penampungan dan Pipa Induk Saluran Air Bersih Distrik Suntamon</t>
  </si>
  <si>
    <t>DINAS PERUMAHAN DAN KAWASAN PERMUKIMAN</t>
  </si>
  <si>
    <t>Peningkatan kemampuan (capacity building) petugas dan pendamping sosial pemberdayaan fakir miskin, KAT dan PMKS lainnya</t>
  </si>
  <si>
    <t>Program Pengembangan Kewirausahaan Keunggulan Kompetitif</t>
  </si>
  <si>
    <t>Angkutan Barang Bantuan Dinsos Provinsi</t>
  </si>
  <si>
    <t>Bantuan Perkiosan Kelompok Usaha Bersama (KUBE) Penyandang Cacat</t>
  </si>
  <si>
    <t>Dana Sering bagi Opetator dan Pendamping Keluarga Harapan (PKH)</t>
  </si>
  <si>
    <t xml:space="preserve"> Pelatihan menjahit bagi 1 kelompok penyandang cacat</t>
  </si>
  <si>
    <t xml:space="preserve"> Pendistribusian Beras Rastra untuk Masyarakat</t>
  </si>
  <si>
    <t>Angkut Udara/Mobilisasi Beras Raskin kepada Masyarakat</t>
  </si>
  <si>
    <t xml:space="preserve"> Angkutan Lokal Beras Raskin</t>
  </si>
  <si>
    <t>Program peningkatan kualitas kelembagaan koperasi</t>
  </si>
  <si>
    <t>Pelatihan Ketrampilan Kuliner Lokal Bagi Perempuan Papua</t>
  </si>
  <si>
    <t xml:space="preserve"> Pelatihan Pembuatan Anyaman Lokal bagi kaum Perempuan Asli Papua</t>
  </si>
  <si>
    <t>Program Peningkatan kualitas hidup dan perlindungan perempuan</t>
  </si>
  <si>
    <t>pelatihan ibu-ibu oap membuat penganekaragaman pangan lokal</t>
  </si>
  <si>
    <t>pelatihan keterampilan anyaman bahan tekstil bagi perempuan asli papua</t>
  </si>
  <si>
    <t>Pengembangan desa mandiri pangan</t>
  </si>
  <si>
    <t>Pengembangan perbenihan/perbibitan</t>
  </si>
  <si>
    <t xml:space="preserve">Pemanfaatan Pekarangan Oleh Kelompok Wanita  Tani OAP </t>
  </si>
  <si>
    <t>Pengadaan Alat Kerja</t>
  </si>
  <si>
    <t>Penyuluhan Ketahanan Pangan dan Hortikultura</t>
  </si>
  <si>
    <t>Program Pembangunan  Sarana dan Prasarana Perhubungan</t>
  </si>
  <si>
    <t xml:space="preserve"> Pembangunan gudang lapangan terbang rumput</t>
  </si>
  <si>
    <t>DINAS PERINDUSTRIAN, PERDAGANGAN, KOPERASI DAN UKM</t>
  </si>
  <si>
    <t xml:space="preserve"> Penciptaan Wira Usaha Baru Khususnya Asli Papua</t>
  </si>
  <si>
    <t xml:space="preserve"> Pengadaan Alat Pembuat Keripik</t>
  </si>
  <si>
    <t>Pembangunan sentra IKM di dekai (450 M2)</t>
  </si>
  <si>
    <t>Pengembangan UMKM pengelola SM lokal</t>
  </si>
  <si>
    <t>Peningkatan sarana dan prasarana pendidikan dan pelatihan perkoperasian</t>
  </si>
  <si>
    <t>Pembinaan, pengawasan, dan penghargaan koperasi berprestasi</t>
  </si>
  <si>
    <t xml:space="preserve"> Peningkatan dan pengembangan jaringan kerjasama usaha koperasi</t>
  </si>
  <si>
    <t xml:space="preserve"> Pembinaan Manajemen Usaha/Pelatihan Pengurus Koperasi</t>
  </si>
  <si>
    <t>Program pembinaan dan pengembangan bidang ketenagalistrikan</t>
  </si>
  <si>
    <t>Pemeliharaan PLTS Terpusat di Kab. Yahukimo</t>
  </si>
  <si>
    <t>Pengadaan PLTS Tersebar (Solar Home System) di 2 distrik kab. Yahukimo</t>
  </si>
  <si>
    <t>Rehabilitasi PLTMH dan pengembangan jaringan Distribusi</t>
  </si>
  <si>
    <t>Pembangunan Pembangkit Listrik Tenaga Surya (PLTS) terpusat di 3 KWP di distrik seredala</t>
  </si>
  <si>
    <t>Penataan tempat usaha bagi pedagang kaki lima OAP</t>
  </si>
  <si>
    <t>Program Pengembangan Industri Kecil dan Menegah</t>
  </si>
  <si>
    <t>Pelatihan Pengembangan Perilaku Kewirausahaan IKM Nenas dan Buah Merah</t>
  </si>
  <si>
    <t xml:space="preserve"> Program Pengembangan sentra sentra Industri Potensial</t>
  </si>
  <si>
    <t>Pengembangan sentra sentra industi potensial yan berbasis potensi komoditas lokal</t>
  </si>
  <si>
    <t>DINAS KEBUDAYAAN DAN PARIWISATA</t>
  </si>
  <si>
    <t xml:space="preserve"> Pengembangan Nilai Budaya Kerajinan Souvenir Budaya Yahukimo (OTSUS)</t>
  </si>
  <si>
    <t>Pengelolaan Kekayaan Budaya Melalui Sanggar Budaya (OTSUS)</t>
  </si>
  <si>
    <t xml:space="preserve"> Program pengembangan budidaya perikanan</t>
  </si>
  <si>
    <t xml:space="preserve"> Optimalisasi UPR </t>
  </si>
  <si>
    <t>Pembangunan Kolam Ikan</t>
  </si>
  <si>
    <t xml:space="preserve"> Program Peningkatan Ketahanan Pangan (Pertanian/Perkebunan)</t>
  </si>
  <si>
    <t>Perluasan Lahan Buah Merah Masyarakat</t>
  </si>
  <si>
    <t xml:space="preserve"> Optimalisasi Tanaman Kedelai</t>
  </si>
  <si>
    <t>Perluasan Lahan Ubi jalar pada Lahan Kelompok Tani/Masyarakat</t>
  </si>
  <si>
    <t xml:space="preserve">Optimalisasi Perkebunan Kopi Arabika Masyarakat  </t>
  </si>
  <si>
    <t xml:space="preserve">Perluasan Areal Perkebunan Kelapa Masyarakat  </t>
  </si>
  <si>
    <t xml:space="preserve">Perluasan Areal Perkebunan  Masyarakat  </t>
  </si>
  <si>
    <t>Pengembangan Cengkeh</t>
  </si>
  <si>
    <t>Pembelian dan Pendistribusian Vaksin Dan Pakan Ternak di Distrik Dekai</t>
  </si>
  <si>
    <t xml:space="preserve">Pembibitan dan Perawatan Ternak Spesipik Papua 																		</t>
  </si>
  <si>
    <t xml:space="preserve">Pengadaan bibit ternak Babi												</t>
  </si>
  <si>
    <t xml:space="preserve">Pembangunan Kandang Ternak Sapi </t>
  </si>
  <si>
    <t>PEJABAT PENGELOLA KEUANGAN DAERAH (PPKD)</t>
  </si>
  <si>
    <t>Hibah Kepada Organisasi Lainnya</t>
  </si>
  <si>
    <t>Hibah Pemeliharaan Lapter (OTSUS 2018)</t>
  </si>
  <si>
    <t>PemberianBantuanPembinaanPendidikan Kursus dan Kelembagaan KUNTRE ENGLISHCOURSE (OTSUS)</t>
  </si>
  <si>
    <t>Hibah Kepada Rumah Ibadah</t>
  </si>
  <si>
    <t xml:space="preserve">Hibah Kepada Organisasi Keagamaan  (OTSUS) </t>
  </si>
  <si>
    <t>Belanja bantuan Operasional Pendidikan (OTSUS)</t>
  </si>
  <si>
    <t>Penyelenggaraan PAUD Non-Formal dan Formal berupa Bantuan Operasonal/BOP Penyelenggaraan Pendidikan Taman Kanak-Kanak/TK (OTSUS)</t>
  </si>
  <si>
    <t>Penyelenggaraan PAUD Non-Formal dan Formal berupa Bantuan Operasional/BOP Penyelenggaraan Anak Usia Dini (PAUD) (OTSUS)</t>
  </si>
  <si>
    <t xml:space="preserve"> Penyelenggaraan PAUD Non-Formal dan Formal berupa Bantuan Pengganti SPP (Pendidikan Gratis) Taman kanak-kanak/TK (OTSUS)</t>
  </si>
  <si>
    <t xml:space="preserve"> Biaya pengganti SPP (Sekolah Gratis) untuk Sekolah Dasar/SD (OTSUS)</t>
  </si>
  <si>
    <t>Biaya operasional penyelenggaraan/BOP Sekolah Menengah Pertama (SMP) (OTSUS)</t>
  </si>
  <si>
    <t>Biaya Pengganti SPP (Pendidikan Gratis) SMP (OTSUS)</t>
  </si>
  <si>
    <t>Operasional Penyelenggaraan/BOP SMK &amp; SMTK (Meliputi : SMKN 1 Dekai, SMKN 2 Terpadu Dekai, SMK Yapesli Suele Dekai, SMTK Orien Kidd, SMTK Philipus) (OTSUS)</t>
  </si>
  <si>
    <t>Biaya Pengganti SPP (Sekolah Gratis) SMK &amp; SMTK (Meliputi : SMKN 1 Dekai, SMKN 2 Terpadu Dekai, SMK Yapesli Suele Dekai, SMTK Orien Kidd, SMTK Philipus) (OTSUS)</t>
  </si>
  <si>
    <t>Penyusunan Dokumen Perencanaan OTSUS URD/RD</t>
  </si>
  <si>
    <t>Pengawasan, Monitoring, Evaluasi dan Pelaporan Dana Otonomi Khusus (OTSUS)</t>
  </si>
  <si>
    <t>14</t>
  </si>
  <si>
    <t>KABUPATEN PEGUNUNGAN BINTANG</t>
  </si>
  <si>
    <t>URUSAN PENDIDIKAN</t>
  </si>
  <si>
    <t>DINAS PENDIDIKAN, KEBUDAYAAN, PEMUDA DAN OLAHRAGA</t>
  </si>
  <si>
    <t>Pelatihan Penyusunan SOP dan Dapodik Bagi Kadiscab</t>
  </si>
  <si>
    <t>Pelatihan Penyusunan SOP dan RKHS Bagi Pengawas</t>
  </si>
  <si>
    <t>Pembnagunan kantor Pengawas</t>
  </si>
  <si>
    <t>Pembuatan RPP dan Alat Peraga Bagi Pengawas</t>
  </si>
  <si>
    <t>Pola Pendidikan Bokam Sukam</t>
  </si>
  <si>
    <t>Lomba Kreatifitas PAUD</t>
  </si>
  <si>
    <t>Pelatihan Kepala Sekolah</t>
  </si>
  <si>
    <t>Penambahan ruang kelas sekolah</t>
  </si>
  <si>
    <t>Pengadaan Makanan Tambahan Siswa Berbahan Lokal Sesuai Dengan Usia Tumber Kembang Anak</t>
  </si>
  <si>
    <t>Pengayaan Siswa Kelas 6 dan Kelas 9</t>
  </si>
  <si>
    <t>Penyedia Biaya Honor Tutor/Guru PAUD TK Bantuan Operasional</t>
  </si>
  <si>
    <t>Penyelenggaraan Pendidikan Anak Usia Dini Non Formal dan Formal</t>
  </si>
  <si>
    <t>Penyelenggaraan Ujian Nasional Kesetaraan Paket A,B, dan C</t>
  </si>
  <si>
    <t xml:space="preserve">Penyiapan Biaya Operasional PKBM </t>
  </si>
  <si>
    <t>Diklat Pengawas ( in 61 Jam )</t>
  </si>
  <si>
    <t>Honorarium Tutor Bidang Study Muatan Lokal</t>
  </si>
  <si>
    <t>Lomba Cerdas Cermat Tingkat SD dan SMP</t>
  </si>
  <si>
    <t>Pembnagunan Asrama Putra dan Putri SMP Negeri Okbibab</t>
  </si>
  <si>
    <t>Pengadaan Buku Penunjnag Pembelajaran dan Pengajaran Siswa</t>
  </si>
  <si>
    <t>Penyedia Ujijan Nasional Berbasis komputer ( UNBK )</t>
  </si>
  <si>
    <t>Penyelenggaraan Ujian Nasional Sekolah Dasar</t>
  </si>
  <si>
    <t>Penyelenggaraan Ujian Nasional SMP</t>
  </si>
  <si>
    <t>Penyusunan Buku Pelajaran Muatan Lokal</t>
  </si>
  <si>
    <t>Pembebasan SPP</t>
  </si>
  <si>
    <t>Penyediaan Dana Handling Cost Obat, Vaksin dan Perbekalan Kesehatan ke Unit Pelayanan Kesehatan</t>
  </si>
  <si>
    <t>Pelayanan Pusling Dokter Terbang Daerah Tidak Terjangkau</t>
  </si>
  <si>
    <t>Penyediaan Biaya Rujukan Bagi Masyarakat Tidak Mampu</t>
  </si>
  <si>
    <t>Pelayanan pencegahan dan penanggulangan penyakit menular</t>
  </si>
  <si>
    <t>Peningkatan imuniasasi</t>
  </si>
  <si>
    <t>Operasional Rumah Singgah</t>
  </si>
  <si>
    <t>Perawatan secara berkala bagi ibu hamil bagi keluarga kurang mampu</t>
  </si>
  <si>
    <t>PENINGKATAN KESEJAHTERAAN TENAGA MEDIS</t>
  </si>
  <si>
    <t>Pendidikan Mahasiswa Kedokteran Umum (OTSUS)</t>
  </si>
  <si>
    <t>Pendidikan Mahasiswa Kedokteran Spesialis (OTSUS)</t>
  </si>
  <si>
    <t>Penyediaan Biaya Siswa Analisis Kesehatan</t>
  </si>
  <si>
    <t>Pendidikan Mahasiswa Kesehatan D-III/S1 (OTSUS)</t>
  </si>
  <si>
    <t>Penyediaan Makanan Bagi Pasien Rawat Inap</t>
  </si>
  <si>
    <t>Penunjang Pelayanan Bagi Pasien HIV/AIDS</t>
  </si>
  <si>
    <t>Penunjang Pelayanan Bagi Pasien TBC</t>
  </si>
  <si>
    <t>Renovasi Gedung Pelayanan HIV/AIDS</t>
  </si>
  <si>
    <t>Renovasi Gedung TBC</t>
  </si>
  <si>
    <t>Renovasi Gedung Pelayanan Gizi</t>
  </si>
  <si>
    <t>URUSAN PEREKONOMIAN</t>
  </si>
  <si>
    <t>Pelatihan Petani Budidaya Tanaman Perkebunan Kopi dan kakao (OTSUS)</t>
  </si>
  <si>
    <t>Pelatihan Pembenihan dan Budidaya Ikan Air Tawar</t>
  </si>
  <si>
    <t>Pembinaan dan Pengembangan Budidaya Perikanan Air Tawar</t>
  </si>
  <si>
    <t>Peningkatan Produksi Benih Tanaman Pangan (OTSUS)</t>
  </si>
  <si>
    <t>Pendistribusian bibit ternak  kepada masyarakat</t>
  </si>
  <si>
    <t>Pemeliharaan Kebun Benih Tanaman Perkebunan (OTSUS)</t>
  </si>
  <si>
    <t>Perluasan Areal Komoditas Perkebunan (OTSUS)</t>
  </si>
  <si>
    <t>DINAS PERINDUSTRIAN, PERDAGANGAN DAN KOPERASI</t>
  </si>
  <si>
    <t>Peningkatan Kapasitas Pengelola Ketenagalistrikan</t>
  </si>
  <si>
    <t>Program Pengembangan Energi Murah Bagi Masyarakat</t>
  </si>
  <si>
    <t>Pengadaan dan Pemasangan Solar Cell</t>
  </si>
  <si>
    <t>Revitalisasi Pembangkit Tenaga Listrik</t>
  </si>
  <si>
    <t>Pembinaan Manajemen usaha</t>
  </si>
  <si>
    <t>Pengembangan Fasilitas Pendukung Usaha</t>
  </si>
  <si>
    <t>URUSAN INFRASTRUKTUR</t>
  </si>
  <si>
    <t>DINAS PEKERJAAN UMUM DAN PERUMAHAN</t>
  </si>
  <si>
    <t>Pembangunan / Peningkatan dan Pemeliharaan Jalan dan Jembatan di Lingkungan Kampung</t>
  </si>
  <si>
    <t>Pembangunan  Jaringan Air Bersih</t>
  </si>
  <si>
    <t>Pembangunan Rumah Layak Huni Bagi Masyarakat Asli Papua</t>
  </si>
  <si>
    <t>URUSAN AFFIRMASI</t>
  </si>
  <si>
    <t>DINAS PEMBERDAYAAN PEREMPUAN, PERLINDUNGAN ANAK DAN KELUARGA BERENCANA</t>
  </si>
  <si>
    <t>Penyuluhan Bagi Ibu Rumah Tangga Dalam Membangun Keluarga Sejahtera</t>
  </si>
  <si>
    <t>Program keserasian Kebijakan Peningkatan Kualitas Anak dan Perempuan</t>
  </si>
  <si>
    <t>Bimbingan Usaha Jahit Menjahit</t>
  </si>
  <si>
    <t>Pengadaan Peralatan dan Perlengkapan Jahit</t>
  </si>
  <si>
    <t>Program pengembangan bahan informasi tentang pengasuhan dan pembinaan tumbuh kembang anak</t>
  </si>
  <si>
    <t>Budidaya Unom/Cawat Ciri Khas Pegunungan Bintang</t>
  </si>
  <si>
    <t>Pemberian Bantuan dan Pelayanan kepada Janda dan Lansia (OTSUS)</t>
  </si>
  <si>
    <t>Pendataan Korban KDRT bagi Perempuan dan Anak (OTSUS)</t>
  </si>
  <si>
    <t>Sosialisasi bahaya Narkoba dan Seks Bebas bagi Anak Sekolah (OTSUS)</t>
  </si>
  <si>
    <t>Kegiatan bimbingan manajemen usaha bagi perempuan dalam mengelola usaha</t>
  </si>
  <si>
    <t>Pelatihan Keterampilan Menjahit</t>
  </si>
  <si>
    <t>Pelatihan Ketrampilan Menganyam Piring Rotan</t>
  </si>
  <si>
    <t>Pelatihan Menganyam Tikar dengan bahan lokal</t>
  </si>
  <si>
    <t>Pemberian Bantuan Peralatan dan Pengadaan Pakaian Bagi Asrama Putri (OTSUS)</t>
  </si>
  <si>
    <t>Pengadaan Bahan dan Pelatihan Anyaman Noken dengan Bahan Lokal</t>
  </si>
  <si>
    <t>Pembinaan Sanggar Seni ( OTSUS )</t>
  </si>
  <si>
    <t>PROGRAM</t>
  </si>
  <si>
    <t>Peningkatan Tolerasnsi dan Kerukunan Antar Umat Beragama</t>
  </si>
  <si>
    <t>URUSAN MONITORING DAN EVALUASI</t>
  </si>
  <si>
    <t>Penyusunan Rancangan URD Otsus 2018</t>
  </si>
  <si>
    <t>15</t>
  </si>
  <si>
    <t>KABUPATEN TOLIKARA</t>
  </si>
  <si>
    <t>Pemeliharaan rutin bangunan dan perlengkapan sekolah (OTSUS)</t>
  </si>
  <si>
    <t>Pengadaan bahan habis pakai untuk penyediaan pendukung pembelajaran dan peraktik siswa (OTSUS)</t>
  </si>
  <si>
    <t>Penyediaan Tujungan Khusus Guru di Daerah terpencil dan Terisolir (OTSUS)</t>
  </si>
  <si>
    <t>Pengadaan Bahan Habis Pakai Untuk Pendukung Pembelajaran dan Praktik Siswa SMP (OTSUS)</t>
  </si>
  <si>
    <t>Pembangunan SMP Reguler/Berasrama SMP (OTSUS)</t>
  </si>
  <si>
    <t>Biaya Operasional Pendukung Kegiatan Ekstrakulikuler SMP (OTSUS)</t>
  </si>
  <si>
    <t>Pengadaan Bahan Pakai Habis Pakai untuk mendukung Pembelajaran dan Praktik Siswa (OTSUS)</t>
  </si>
  <si>
    <t>Biaya Operasional Pendukung Kegiatan Ekstrakulikuler (OTSUS)</t>
  </si>
  <si>
    <t>Penyelenggaraan Pendidikan Non Formal Keaksaraan Dasar (KF dan Pelatihan Keterampilan Kerja)(OTSUS)</t>
  </si>
  <si>
    <t>Penyediaan Biaya Operasional Bagi Lembaga Penyelenggara Pendidikan Bagi Kelompok Adat Terpencil (OTSUS)</t>
  </si>
  <si>
    <t>Pengadaaan obat dan Pengiriman ke Puskesmas dan Jaringannya Termasuk Obat ARV (OTSUS)</t>
  </si>
  <si>
    <t>Bantuan Operasional Kesehatan, Upaya Kesehatan Rujukan dan Pelayanan Kesehatan Ibu dan Anak (OTSUS)</t>
  </si>
  <si>
    <t>Penyediaan Tenaga Kesehatan Tidak Tetap (Kontrak) (OTSUS)</t>
  </si>
  <si>
    <t>DINAS PEKERJAAN UMUM</t>
  </si>
  <si>
    <t>Pembangunan Rumah Layak huni Bagi Masyarakat Asli Papua (OTSUS)</t>
  </si>
  <si>
    <t>Pengadaan Sollar Cell (OTSUS)</t>
  </si>
  <si>
    <t>KANTOR KESATUAN BANGSA DAN POLITIK</t>
  </si>
  <si>
    <t>Program Pemberdayaan Kelembagaan Kesejahteraan Sosial</t>
  </si>
  <si>
    <t>Pemberian Bantuan Afirmasi Bidang Lembaga Adat (DEMMA) (OTSUS)</t>
  </si>
  <si>
    <t>Pemberian Bantuan Afirmasi Bidang Lemabga Masyarkat Adar (LMA) (OTSUS)</t>
  </si>
  <si>
    <t xml:space="preserve"> DINAS KETAHANAN PANGAN</t>
  </si>
  <si>
    <t>Pengembangan Sarana dan Prasarana Pertanian Tanaman Pangan dan Holtikultura (OTSUS)</t>
  </si>
  <si>
    <t>Pengembangan data base kependudukan OAP (OTSUS)</t>
  </si>
  <si>
    <t>DINAS PEMERINTAHAN KAMPUNG DAN SOSIAL</t>
  </si>
  <si>
    <t>Program Pemberdyaan Fakir Miskin, Komunitas Adat Terpencil (KAT) dan Penyandang Masalah Kesejahteraa</t>
  </si>
  <si>
    <t>Pengadaan Bahan Bangunan Rumah Bagi Masyarakat Tidak Mampu (OTSUS)</t>
  </si>
  <si>
    <t>Sembako Bagi Fakir Miskin,Janda,Duda,Lansia dan Yatim Piatu (OTSUS)</t>
  </si>
  <si>
    <t>DINAS PENGENDALIAN PENDUDUK, KB, PEMBERDAYAAN PEREMPUAN DAN PERLINDUNGAN ANAK</t>
  </si>
  <si>
    <t>Pelatihan bagi pelatih (TOT) SDM pelayanan dan pendampingan korban KDRT (OTSUS)</t>
  </si>
  <si>
    <t>Pemberdayaan Usaha Ekonomi Masyarakat Adat Asli Papua di Sektor Primer (OTSUS)</t>
  </si>
  <si>
    <t xml:space="preserve"> DINAS PENANAMAN MODAL KOPERASI DAN UKM</t>
  </si>
  <si>
    <t xml:space="preserve">Program Pengembangan Kewirausahaan dan Keunggulan Kompetitif Usaha Kecil Menengah_x000D_
</t>
  </si>
  <si>
    <t>Peningkatan Kualitas Manajemen UKM (OTSUS)</t>
  </si>
  <si>
    <t>Pembinaan Koperasi Peranserta Masyarakat Adat Asli Papua (KOPERMAS) (OTSUS)</t>
  </si>
  <si>
    <t>Peningkatan Kualitas Pelayanan dan Pemenuhan Standar Ketentuan Pengelolaan Koperasi (OTSUS)</t>
  </si>
  <si>
    <t>Fasilitasi Pengembangan Usaha Kecil Menengah (OTSUS EKONOMI KERAKYATAN)</t>
  </si>
  <si>
    <t>Pelatihan petani dan pelaku agribisnis (Pelatihan Di Kabupaten Tolikara) (OTSUS)</t>
  </si>
  <si>
    <t>Pelatihan petani dan pelaku agribisnis (Pelatihan Di Bogor) (OTSUS)</t>
  </si>
  <si>
    <t>Penyediaan Tenaga Penyuluh Pertanian (OTSUS)</t>
  </si>
  <si>
    <t>Peningkatan produksi dan produktivitas Tanaman Pangan dan Holtikultura (OTSUS)</t>
  </si>
  <si>
    <t>Penyediaan sarana produksi pertanian/ perkebunan (OTSUS)</t>
  </si>
  <si>
    <t>Pengadaan Teknologi Pertanian /Perkebunan Tepat Guna (OTSUS)</t>
  </si>
  <si>
    <t>Program Pengembangan Budidaya Perikanan</t>
  </si>
  <si>
    <t>Pengembangan bibit ikan unggul (OTSUS)</t>
  </si>
  <si>
    <t>Pengembangan Bibit Ikan Unggul (Obat dan Pakan Ikan)(OTSUS)</t>
  </si>
  <si>
    <t>Pembinaan dan pengembangan perikanan prasarana budidaya perikanan air tawar (OTSUS)</t>
  </si>
  <si>
    <t>Pembangunan sarana dan prasarana pembibitan ternak (Kandang Ternak Masyarakat)(OTSUS)</t>
  </si>
  <si>
    <t>Pembangunan sarana dan prasarana pembibitan ternak (Bibit Ayam dan Sapi)(OTSUS)</t>
  </si>
  <si>
    <t>Pembangunan sarana dan prasarana pembibitan ternak (Bibit Babi)(OTSUS)</t>
  </si>
  <si>
    <t>Peningkatan Produksi Pakan Ternak (OTSUS)</t>
  </si>
  <si>
    <t>DINAS PERDAGANGAN, PERINDUSTRIAN, DAN TENAGA KERJA</t>
  </si>
  <si>
    <t>Peningkatan Kualitas Sumber Daya Manusia Pelaku Usaha Mini Mikro dan Kecil (OTSUS)</t>
  </si>
  <si>
    <t>Pendampingan Bagi Pelaku Usaha Ekonomi Masyarakat Orang Asli Papua Sesuai dengan Karakteristik Sosial Budaya Setempat (OTSUS)</t>
  </si>
  <si>
    <t xml:space="preserve"> SEKRETARIAT DAERAH</t>
  </si>
  <si>
    <t>Afirmasi Lembaga Agama (BAGIAN BINA MENTAL) (OTSUS)</t>
  </si>
  <si>
    <t xml:space="preserve"> INSPEKTORAT</t>
  </si>
  <si>
    <t>Pelaksanaan Pengawasan Internal Secara Berkala (OTSUS)</t>
  </si>
  <si>
    <t>Koordinasi Perencanaan Pembangunan Bidang Sosial dan Budaya (OTSUS)</t>
  </si>
  <si>
    <t>Non Program</t>
  </si>
  <si>
    <t>Kegiatan Pendidikan Lain Yang memenuhu Kriteria Mendesak dan Relevan Kepentingan Daerah Program Pendidikan Tinggi (Kerjasama dengan IT-Del Balige)</t>
  </si>
  <si>
    <t>Kegiatan Pendidikan Lain Yang memenuhu Kriteria Mendesak dan Relevan Kepentingan Daerah Program Pendidikan Tinggi (Kerjasama dengan KPG Merauke))</t>
  </si>
  <si>
    <t>Kegiatan Pendidikan Lain Yang memenuhu Kriteria Mendesak dan Relevan Kepentingan Daerah Program Pendidikan Tinggi (Kerjasama dengan UKW Salatiga)</t>
  </si>
  <si>
    <t>Kegiatan Pendidikan Lain Yang memenuhu Kriteria Mendesak dan Relevan Kepentingan Daerah Program Pendidikan Tinggi (Afirmasi Pendidikan Tinggi)</t>
  </si>
  <si>
    <t>Kegiatan Pengadaan Makan Minum (afirmasi Pendidikan Menengah)</t>
  </si>
  <si>
    <t>Kegiatan Pendidikan Lain Yang memenuhu Kriteria Mendesak dan Relevan Kepentingan Daerah Program Pendidikan Tinggi (Biaya Studi Akhir)</t>
  </si>
  <si>
    <t>Beasiswa S1 Jurusan Langka</t>
  </si>
  <si>
    <t>16</t>
  </si>
  <si>
    <t>KABUPATEN SARMI</t>
  </si>
  <si>
    <t>Dinas Pendidikan dan  Pengajaran</t>
  </si>
  <si>
    <t>Pengadaan alat praktik dan peraga siswa</t>
  </si>
  <si>
    <t>Pemberian Insentif Guru PNS Paud</t>
  </si>
  <si>
    <t>Penyediaan Guru Kontrak PAUD</t>
  </si>
  <si>
    <t>Pengadaan mebeluer sekolah</t>
  </si>
  <si>
    <t>Penyediaan Bantuan Operasional Sekolah (BOS) jenjang SD/MI/SDLB dan SMP/MTS serta pesantren Salafiyah dan Satuan Pendidikan Non-Islam Setara SD dan SMP</t>
  </si>
  <si>
    <t>Penyediaan buku pelajaran untuk SD/MI/SDLB dan SMP/MTS</t>
  </si>
  <si>
    <t>Penyediaan Dana Pengayaan (Tryout) untuk US/UN SD dan SMP</t>
  </si>
  <si>
    <t>Penyediaan Guru Kontrask SD dan SMP</t>
  </si>
  <si>
    <t>Penyediaan Guru Honda SD dan SMP</t>
  </si>
  <si>
    <t>Insentif Guru PNS/CPNS SD, SMP dan Pengawas</t>
  </si>
  <si>
    <t>Pembangunan rumah dinas kepala sekolah, guru, penjaga sekolah (OTSUS)</t>
  </si>
  <si>
    <t xml:space="preserve">Penambahan Ruang Kelas Baru </t>
  </si>
  <si>
    <t>Pembangunan rumah dinas kepala sekolah, guru, penjaga sekolah</t>
  </si>
  <si>
    <t>Pembangunan laboratorium dan ruang pratikum sekolah (labotatorium bahasa, komputer, IPA, IPS dan lain-lain)</t>
  </si>
  <si>
    <t>Belanja Modal Peralatan dan Mesin - Pengadaan Personal Komputer</t>
  </si>
  <si>
    <t>Penyediaan Dana Pengayaan (TRYOUT) Untuk UAN/UN Untuk SMA dan SMK</t>
  </si>
  <si>
    <t>Pengadaan Buku-buku Kurikulum 2013 Untuk Siswa dan Pegangan Guru SMK</t>
  </si>
  <si>
    <t>Penyediaan Guru Kontrak SMA/SMK</t>
  </si>
  <si>
    <t>Pemberian Insentif Guru PNS SMA/SMK dan Pengawas Sekolah</t>
  </si>
  <si>
    <t>Pemberian bantuan operasional pendidikan non formal</t>
  </si>
  <si>
    <t>Kerja Sama Kemitraan Lembaga Pendidikan</t>
  </si>
  <si>
    <t>Kerjasama PTN Affirmasi Pendidikan ADIK dan ADEM</t>
  </si>
  <si>
    <t>PPKAD</t>
  </si>
  <si>
    <t>Belanja Bantuan Sosial kepada Organisasi Sosial Kemasyarakatan (OTSUS)</t>
  </si>
  <si>
    <t>Belanja Bantuan Sosial Pendidikan (OTSUS)</t>
  </si>
  <si>
    <t>Pengadaan obat dan pengiriman ke puskesmas dan jaringannya termasuk obat ARV (OTSUS)</t>
  </si>
  <si>
    <t>Peningkatan kualitas pelayanan (OTSUS)</t>
  </si>
  <si>
    <t>Bantuan operasional kesehatan, upaya kesehatan rujukan dan pelayanan kesehatan ibu dan anak (OTSUS)</t>
  </si>
  <si>
    <t>Peningkatan tenaga penyuluh (OTSUS)</t>
  </si>
  <si>
    <t xml:space="preserve">Pelatihan kader </t>
  </si>
  <si>
    <t>Penyuluhan langsung kepada masyarakat (OTSUS)</t>
  </si>
  <si>
    <t>Pengembangan UBKM ( Upaya Kesehatan Berbasis Masyarakat) OTSUS</t>
  </si>
  <si>
    <t>Pengembangan  Media Promosi  OTSUS</t>
  </si>
  <si>
    <t>Pemberian kapsul vitamin A bagi anak bayi dan balita (OTSUS)</t>
  </si>
  <si>
    <t>Pemberian makanan  tambahan kepada bayi, balita dan ibu hamil (OTSUS)</t>
  </si>
  <si>
    <t>Penanggulangan TBC, Malaria, Filaria, Frambusia, Kusta, Taeniasis, Diare, DBD, HIV, IMS, ISPA, Cacingan, Imunisasi dan Penyakit  yang tidak menular yang tertangani (OTSUS)</t>
  </si>
  <si>
    <t xml:space="preserve"> Program Peningkatan Kesehatan Perorangan</t>
  </si>
  <si>
    <t>Penin gkatan Pelayanan di Rumah Sakit</t>
  </si>
  <si>
    <t>Program Jaminan Kesehatan  Masyarakat  Asli Papua</t>
  </si>
  <si>
    <t>Penanggulangan Masalah  Kesehatan  masyarakat Asli Papua</t>
  </si>
  <si>
    <t>RUMAH SAKIT UMUM DAERAH ( RSUD)</t>
  </si>
  <si>
    <t>Peningkatan Kualitas Kesehatan Masyarakat</t>
  </si>
  <si>
    <t xml:space="preserve">Pemberian makanan tambahan banyi , Balita dan ibu Hamil </t>
  </si>
  <si>
    <t>Program Peningkatan Kesehatan Perseorangan</t>
  </si>
  <si>
    <t>Penigktanan Pelayanan Rumah Sakit</t>
  </si>
  <si>
    <t xml:space="preserve">SOSIAL </t>
  </si>
  <si>
    <t>Affirmasi Lembaga Masyarakat Adat Asli (OTSUS)</t>
  </si>
  <si>
    <t>Pendidikan dan Pelatihan Ketrampilan Bagi Pencari Kerja OAP (OTSUS)</t>
  </si>
  <si>
    <t>Monitoring, Evaluasi,  Pengendalian Terpadu dan Pelaksanaan Rencana Hasil Pembangunan (OTSUS)</t>
  </si>
  <si>
    <t xml:space="preserve"> Pengendalian Penduduk dan Keluarga Berencana</t>
  </si>
  <si>
    <t>Penyuluhan Bagi Ibu Rumah Tangga dalam Membangun Keluarga Sejahtera</t>
  </si>
  <si>
    <t>Fasilitasi Pembentukan Kelompok Masyarakat Peduli KB</t>
  </si>
  <si>
    <t>Program Peningkatan Keberdayaan Masyarakat Perdesaan</t>
  </si>
  <si>
    <t>Peningkatan Ketrampilan Usaha (OTSUS)</t>
  </si>
  <si>
    <t>Honorarium Non PNS</t>
  </si>
  <si>
    <t>Program pengembangan lembaga ekonomi pedesaan</t>
  </si>
  <si>
    <t>Pengembangan sarana dan prasarana pertanian tanaman pangan dn hortikultura (OTSUS)</t>
  </si>
  <si>
    <t>Penyuluhan sumber pangan spesifik lokal (OTSUS)</t>
  </si>
  <si>
    <t>Pengembangan Lumbung/Cadangan pangan masyarakat spesifik lokal (OTSUS)</t>
  </si>
  <si>
    <t>Pengembangan Sumber Daya Manusia dan Profesionalisme bidang Pariwisata (OTSUS)</t>
  </si>
  <si>
    <t>Pembangunan Terminal Angkutan Darat</t>
  </si>
  <si>
    <t>Pogram peningkatan pelayanan angkutan</t>
  </si>
  <si>
    <t>Subsidi Bahan Bakar Minyak Angkutan Umum</t>
  </si>
  <si>
    <t>PERIKANAN DAN KELAUTAN</t>
  </si>
  <si>
    <t>Penyediaan Sarana dan Prasarana Pemberdayaan Pesisir dan Pulau-pulau Kecil</t>
  </si>
  <si>
    <t>Pendampingan pada kelompok nelayan perikanan tangkap</t>
  </si>
  <si>
    <t>Kegiatan Pendidikan  dan Palatihan  peran serta  dan kesetaraan jender</t>
  </si>
  <si>
    <t>Upaya perlindungan perempuan di kampung-kampung dan daerah pedalaman (OTSUs)</t>
  </si>
  <si>
    <t>Bimbingan manajemen usaha bagi perempuan OAP dalam mengelola usaha (OTSUS)</t>
  </si>
  <si>
    <t>Workshop peningkatan peran perempuan dalam pengambilan keputusan</t>
  </si>
  <si>
    <t>Pengadaan sarana produksi pertanian/perkebunan</t>
  </si>
  <si>
    <t>Pemeliharaan Blok Penghasil Tinggi (BPT) Tanaman Kelapa</t>
  </si>
  <si>
    <t>Pemeliharaan Tanaman Kakao</t>
  </si>
  <si>
    <t>Pengembangan Bibit Unggul Pertanian/Perkebunan (Pengadaan Kakao Sambung Pucuk Siap Salur)</t>
  </si>
  <si>
    <t>Pengembangan Komoditas Unggulan Spesifik Papua</t>
  </si>
  <si>
    <t>Pengembangan bibit unggul pertanian/perkebunan (Pengembangan Bibit Bete, Gembili/Syafu, Betatas dan Keladi siap salur)(OTSUS)</t>
  </si>
  <si>
    <t>Pembangunan Kebun Kakao Rakyat (Ekstenfikasi tanaman Kakao)(OTSUS)</t>
  </si>
  <si>
    <t>Distribusi Bibit Ternak kepada Masyarakat (Ternak Ayam Kampung dan Kandang)</t>
  </si>
  <si>
    <t>Peningkatan Pengetahuan dan Keterampilan Petani</t>
  </si>
  <si>
    <t>DINAS PERINDUSTRIAN PERDAGANGAN  KOPERASI DAN UKM</t>
  </si>
  <si>
    <t>Fasilitasi bagi industri kecil dan menengah terhadap pemanfaatan sumber daya (OTSUS)</t>
  </si>
  <si>
    <t>Peningkatan Kemitraan bagi usaha makro kecil menegah</t>
  </si>
  <si>
    <t>Pembinaan Koperasi Peran Serta Masyarakat Adat Asli Papua (Kopermas)</t>
  </si>
  <si>
    <t>Pembainaan manajemen  usaha  bagi orang asli Papua</t>
  </si>
  <si>
    <t>Pendampingan Bagi Pelaku Usaha Ekonomi Masyarakat Orang Asli Papua sesuai dengan karakteristik Sosial Budaya Setempat  (OTSUS)</t>
  </si>
  <si>
    <t>17</t>
  </si>
  <si>
    <t>KABUPATEN KEEROM</t>
  </si>
  <si>
    <t>Pengadaan Bahan Habis Pakai Untuk Pendukung Pembelajaran PAUD (OTSUS)</t>
  </si>
  <si>
    <t>Pengadaan Pendidik PAUD Non-formal dan In-Formal (OTSUS)</t>
  </si>
  <si>
    <t>Biaya Oprasional Pendukung Kegiatan Ekstrakulikuler SMP/MTS (OTSUS)</t>
  </si>
  <si>
    <t>Pengadaan Pendidikan (Guru Kontrak) SD  (OTSUS)</t>
  </si>
  <si>
    <t>Pengadaan Pendidikan (Guru Kontrak) SMP  (OTSUS)</t>
  </si>
  <si>
    <t>Biaya Operasional Pendukung Kegiatan Ekstrakurikuler SD dan SMP (OTSUS)</t>
  </si>
  <si>
    <t>Pengadaan tenaga kependidikan (TU, Pustakawan, Laboran, Penjaga Sekolah, Tenaga Kebersihan, Pengelola Asrama) (OTSUS)</t>
  </si>
  <si>
    <t>Pengadaan Makan dan Minum siswa/siswi SD-SMP satu atap berasrama berbasis makanan lokal (OTSUS)</t>
  </si>
  <si>
    <t>Pembagunan Tempat ibadah, perpustakaan, UKS, kamar mandi, jamban dan jaringan air bersih dengan pipa atau bak penampungan air hujan disesuaikan dengan kondisi lingkungan (OTSUS)</t>
  </si>
  <si>
    <t>Pengadaan Meubelair dan perlengkapan pendukung untuk ruang kelas, ruang guru, UKS, perpustakaan, asrama (SMP) (OTSUS)</t>
  </si>
  <si>
    <t>Pengadaan bahan habis pakai untuk penyediaan pendukung pembelajaran dan praktik siswa SD (OTSUS)</t>
  </si>
  <si>
    <t>Pengadaan komputer dan ICT untuk pembelajaran interaktif dan pangkalan data pendidikan (SMP) (OTSUS)</t>
  </si>
  <si>
    <t>Penyediaan Biaya Operasional Praktik Kerja Industri (PRAKERIN) Tingkat SMK (Dalam dan Luar Negeri) (OTSUS)</t>
  </si>
  <si>
    <t>Pengadaan Pendidik (Guru Kontrak) SMA (OTSUS)</t>
  </si>
  <si>
    <t>Pengadaan Pendidik (Guru Kontrak) dan Tutor Ahli Sesuai dengan Program Keahlian SMK (OTSUS)</t>
  </si>
  <si>
    <t>Pengadaan Makan dan Minum SMA berasrama (OTSUS)</t>
  </si>
  <si>
    <t>Biaya Operasional Pendukung Kegiatan Ekstrakurikuler (SMA) (OTSUS)</t>
  </si>
  <si>
    <t>Biaya Operasional Pendukung Kegiatan Ekstrakurikuler (SMK) (OTSUS)</t>
  </si>
  <si>
    <t>Pengadaan Komputer dan ICT untuk pembelajaran interaktif dan pangkalan data pendidikan (OTSUS)</t>
  </si>
  <si>
    <t>Pemberian bantuan operasional pendidikan non formal (PKBM, LKP, SKB) (OTSUS)</t>
  </si>
  <si>
    <t>Pengembangan pendidikan kecakapan hidup (OTSUS)</t>
  </si>
  <si>
    <t>Pembangunan sarana dan prasarana pendidikan non formal (OTSUS)</t>
  </si>
  <si>
    <t>Dukungan beasiswa untuk siswa/siswi OAP berprestasi secara terbatas untuk jurusan yang sangat dibutuhkan dalam pembangunan daerah (OTSUS)</t>
  </si>
  <si>
    <t>Pengadaan Obat dan Perbekalan Kesehatan (OTSUS)</t>
  </si>
  <si>
    <t>Program Upaya Kesehatan Masyakarat</t>
  </si>
  <si>
    <t>Peningkatan Kwalitas Pelayanan (OTSUS)</t>
  </si>
  <si>
    <t>Pemberian Makanan Tambahan Kepada Bayi, Balita Dan Ibu Hamil -  Pemberian Tambahan Makanan  Bagi Bayi Dan Balita Di Puskesmas Arso Kota (OTSUS)</t>
  </si>
  <si>
    <t>Pencegahan Dan Pemberantasan IMS Dan HIV/ AIDS (OTSUS)</t>
  </si>
  <si>
    <t>Penanggulangan TBC, Malaria, Filaria, Frambusia, Kusta, Teaniasis, Penyakit Tidak Menular (OTSUS)</t>
  </si>
  <si>
    <t>Menjamin Ketersediaan Vaksin Dan Tempat Penyimpanan Vaksin (OTSUS)</t>
  </si>
  <si>
    <t>Pembangunan Puskesmas Pembantu (OTSUS)</t>
  </si>
  <si>
    <t>Peningkatan Dan Pemeliharaan Kesehatan Ibu Dan Bayi Baru Lahir Orang Asli Papua (OAP) (OTSUS)</t>
  </si>
  <si>
    <t>Peningkatan Pelayanan Di Rumah Sakit (OTSUS)</t>
  </si>
  <si>
    <t>Program Sumber Daya Kesehatan (SDK)</t>
  </si>
  <si>
    <t>Peningkatan Kwalitas Tenaga Kesehatan Puskesmas dan Jaringannya (OTSUS)</t>
  </si>
  <si>
    <t>Penyediaan Tenaga Kesehatan Tidak Tetap (OTSUS)</t>
  </si>
  <si>
    <t>Dinas Pengendalian Penduduk dan KB</t>
  </si>
  <si>
    <t>Program KB</t>
  </si>
  <si>
    <t>Penyediaan pelayanan KB dan Alat kontrasepsi bagi Keluarga Miskin</t>
  </si>
  <si>
    <t>Dinas Perindustrian, Perdagangan dan Koperasi</t>
  </si>
  <si>
    <t>Program pengembangan kewirausahaan dan keunggulan kompetitif usaha kecil menengah</t>
  </si>
  <si>
    <t>Fasilitasi Dukungan Permodalan Pinjaman Usaha (OTSUS)</t>
  </si>
  <si>
    <t>Penciptaan Wirausaha Baru Khususnya Wirausaha Asli Papua (OTSUS)</t>
  </si>
  <si>
    <t>Akses Terhadap Sumber Daya Ekonomi (OTSUS)</t>
  </si>
  <si>
    <t>Program Pendampingan Pelaku Usaha Ekonomi Kerakyatan</t>
  </si>
  <si>
    <t>Pemberdayaan Usaha Ekonomi Masyarakat Asli Papua di Sektor Primer (OTSUS)</t>
  </si>
  <si>
    <t>Program pembinaan pedagang kakilima dan asongan</t>
  </si>
  <si>
    <t>Pemberdayaan Kewirausahaan Kelompok Usaha Orang Asli Papua (OAP) Produk Lokal (OTSUS)</t>
  </si>
  <si>
    <t>Urusan Wajib Pelayanan Dasar</t>
  </si>
  <si>
    <t>Program Penyediaan dan Pengelolaan Air Baku</t>
  </si>
  <si>
    <t>Penyediaan air bersih untuk perumahan (OTSUS)</t>
  </si>
  <si>
    <t>Pembangunan Rumah Masyarakat KAT (OTSUS)</t>
  </si>
  <si>
    <t>Urusan Wajib Bukan Pelayanan Dasar</t>
  </si>
  <si>
    <t>Program Penguatan Kelembangaan Pengarusutaman Gender dan Anak</t>
  </si>
  <si>
    <t>Pembinaan Kelompok Perempuan (OTSUS)</t>
  </si>
  <si>
    <t>Bimbingan Manajemen Usaha Bagi Perempuan OAP dalam Mengelola Usaha (OTSUS)</t>
  </si>
  <si>
    <t>Program Pembangunan Infrastruktur Perdesaan</t>
  </si>
  <si>
    <t>Penataan Lingkungan Pemukiman Penduduk Kampung Orang Asli Papua (OAP) (OTSUS)</t>
  </si>
  <si>
    <t>Penanganan daerah rawan pangan (OTSUS)</t>
  </si>
  <si>
    <t>Pemanfaatan pekarangan untuk pengembangan pangan (OTSUS)</t>
  </si>
  <si>
    <t>Program pembangunan sarana dan prasarana perhubungan</t>
  </si>
  <si>
    <t>Pengadaan Kendaraan Angkutan Pedesaan</t>
  </si>
  <si>
    <t>Program Kemitraan</t>
  </si>
  <si>
    <t>Penyelenggaraan festival budaya keerom (OTSUS)</t>
  </si>
  <si>
    <t>Dinas Pertanian dan Perikanan</t>
  </si>
  <si>
    <t>Penyuluhan peningkatan produksi pertanian/perkebunan</t>
  </si>
  <si>
    <t>Pengembangan Komoditas Unggulan Perkebunan Spesifik Papua</t>
  </si>
  <si>
    <t>Pengembangan Data Base Kependudukan OAP  (OTSUS)</t>
  </si>
  <si>
    <t>Program Perencanaan Pembanguan Daerah</t>
  </si>
  <si>
    <t>Koordinasi Penyusunan URD OTSUS</t>
  </si>
  <si>
    <t>Monitoring dan Evaluasi Kegiatan OTSUS</t>
  </si>
  <si>
    <t>Badan Pengelola Keuangan dan Aset Daerah (PPKD)</t>
  </si>
  <si>
    <t>Belanja Hibah Kepada Badan/Lembaga/Organisasi</t>
  </si>
  <si>
    <t>18</t>
  </si>
  <si>
    <t>KABUPATEN WAROPEN</t>
  </si>
  <si>
    <t>Program Peningkatan sarana dan Prasarana Aparatur</t>
  </si>
  <si>
    <t>Pembangunan Ruang Kelas Belajar SMA</t>
  </si>
  <si>
    <t xml:space="preserve"> Pembangunan gedung sekolah</t>
  </si>
  <si>
    <t>Pendidikan dan Pelatihan Formal Kompetensi Tenaga Pendidik</t>
  </si>
  <si>
    <t>Pembangunan Rumah Dinas Kepala Sekolah, Guru, Penjaga Sekolah</t>
  </si>
  <si>
    <t>Pembinaan Minat, Bakat dan Kreativitas Siswa</t>
  </si>
  <si>
    <t>Pembangunan Sarana Air Bersih dan Sanitary</t>
  </si>
  <si>
    <t>Rehabilitasi Sedang/Berat Asrama Siswa</t>
  </si>
  <si>
    <t xml:space="preserve"> Pemberian Bantuan Operasional Pendidikan Non Formal</t>
  </si>
  <si>
    <t xml:space="preserve"> Program Peningkatan Mutu Pendidik dan Tenaga Kependidikan</t>
  </si>
  <si>
    <t>Monitoring, Evaluasi dan Pelaporan</t>
  </si>
  <si>
    <t>Penyelenggaraan Festival Seribu Bakau</t>
  </si>
  <si>
    <t>Penyelenggaraan Festival Anak dan Remaja</t>
  </si>
  <si>
    <t>PPKD</t>
  </si>
  <si>
    <t xml:space="preserve"> Bantuan Sosial Kepada Anggota Masyarakat </t>
  </si>
  <si>
    <t>Bantuan Beasiswa Bagi Siswa/Siswi Asli Papua</t>
  </si>
  <si>
    <t xml:space="preserve"> Program Obat dan Perbekalan Kesehatan</t>
  </si>
  <si>
    <t>Pengadaaan Obat Generik dan Perbekalan Kesehatan</t>
  </si>
  <si>
    <t>Perbaikan Gizi Masyarakat</t>
  </si>
  <si>
    <t>Peningkatan imunisasi</t>
  </si>
  <si>
    <t xml:space="preserve"> Program Pengadaan, Peningkatan Sarana dan Prasaran Rumah Sakit</t>
  </si>
  <si>
    <t>Pengadaan Alat-Alat Kesehatan Rumah Sakit</t>
  </si>
  <si>
    <t>Perawatan Secara Berkala Bagi Ibu Hamil dan Bagi Keluarga Kurang Mampu</t>
  </si>
  <si>
    <t>Pertolongan Persalinan Bagi Ibu dari Keluarga Kurang Mampu</t>
  </si>
  <si>
    <t xml:space="preserve"> Program Peningkatan Keselamatan Ibu Melahirkan dan Anak</t>
  </si>
  <si>
    <t>Kegiatan Sosialisasi/Pembinaan/Kegiatan Kesehatan Ibu dan Anak</t>
  </si>
  <si>
    <t>Bantuan Sosial Kepada Anggota Masyarakat</t>
  </si>
  <si>
    <t xml:space="preserve"> Pembinaan Kelompok Ekonomi Masyarakat Pesisir</t>
  </si>
  <si>
    <t>Penyediaan Sarana dan Prasarana Pemberdayaan Skala Kecil Untuk Nelayan</t>
  </si>
  <si>
    <t>Program Pengembangan Kawasan Budidaya Air Laut, Air Payau dan Air Tawar</t>
  </si>
  <si>
    <t>Pengembangan Kawasan Budidaya Air Laut/Air Payau</t>
  </si>
  <si>
    <t>DINAS PETERNAKAN</t>
  </si>
  <si>
    <t xml:space="preserve"> Program peningkatan produksi hasil peternakan</t>
  </si>
  <si>
    <t xml:space="preserve"> Pembibitan dan Perawatan Ternak</t>
  </si>
  <si>
    <t>Penyuluhan Kualitas Gizi dan Pakan ternak</t>
  </si>
  <si>
    <t xml:space="preserve">DINAS PERINDUSTRIAN, PERDAGANGAN, KOPERASI DAN UKM </t>
  </si>
  <si>
    <t xml:space="preserve"> Program Pengembangan Kewirausahaan dan Keunggulan Kompetitif Usaha Kecil Menengah</t>
  </si>
  <si>
    <t>Peningkatan Kualitas Pelayanan dan Pemenuhan Standar/Ketentuan Pengelolaan Koperasi</t>
  </si>
  <si>
    <t xml:space="preserve">Bantuan Sosial Kepada Anggota Masyarakat </t>
  </si>
  <si>
    <t>Bantuan Modal Usaha Berbasis Kerakyatan OAP</t>
  </si>
  <si>
    <t>DINAS PARIWISATA DAN BUDAYA</t>
  </si>
  <si>
    <t>Program Peningkatan Kualitas dan Produktifitas Tenaga Kerja</t>
  </si>
  <si>
    <t>Peningkatan Sumber Daya Manusia</t>
  </si>
  <si>
    <t>Program Pengelolaan kekayaan Budaya</t>
  </si>
  <si>
    <t xml:space="preserve"> Pengembangan Minat dan Bakat Anak Remaja</t>
  </si>
  <si>
    <t xml:space="preserve">DINAS PERUMAHAN </t>
  </si>
  <si>
    <t>Pembangunan Rumah sehat</t>
  </si>
  <si>
    <t>Pelatihan Bagi Pelatih (TOT) SDM Pelayanan dan Pendampingan Korban KDRT</t>
  </si>
  <si>
    <t>Program Peningkatan Peran Serta dan Kesetaraan Gender Dalam Pembangunan</t>
  </si>
  <si>
    <t>Kegiatan Pembinaan Organisasi perempuan</t>
  </si>
  <si>
    <t>Kegiatan Bimbingan Manajemen Usaha Bagi Perempuan Dalam Mengelola Usaha</t>
  </si>
  <si>
    <t>Kegiatan Pameran Hasil Karya Perempuan di Bidang pembangunan</t>
  </si>
  <si>
    <t>Operasional Sekolah Perempuan</t>
  </si>
  <si>
    <t>Pelatihan Bagi Perempuan Waropen Untuk Pengelolaan Pangan Lokal</t>
  </si>
  <si>
    <t>Pembinaan Lembaga Masyarakat Adat Asli Waropen</t>
  </si>
  <si>
    <t>Urusan Pelayanan Umum</t>
  </si>
  <si>
    <t>Koordinasi Ppenyusunan Program Otsus tahun 2019</t>
  </si>
  <si>
    <t>Monev Pelaksanaan Program GPMKESMAWAR</t>
  </si>
  <si>
    <t>Belanja Bantuan Sosial kepada Organisasi Sosial Kemasyarakatan</t>
  </si>
  <si>
    <t>Belanja Bantuan Sosial Organisasi Keagamaan</t>
  </si>
  <si>
    <t>19</t>
  </si>
  <si>
    <t>KABUPATEN SUPIORI</t>
  </si>
  <si>
    <t>Pengadaan buku penunjang kompetensi tumbuh kembang (OTSUS)</t>
  </si>
  <si>
    <t>Pengembangan data dan informasi Pendidikan Anak Usia Dini (OTSUS)</t>
  </si>
  <si>
    <t>Penyediaan Tenaga guru kontrak PAUD (OTSUS)</t>
  </si>
  <si>
    <t>Penyediaan Biaya Operasional (BOP) Siswa PAUD (OTSUS)</t>
  </si>
  <si>
    <t>Pelatihan Kurikulum bagi Guru PAUD (OTSUS)</t>
  </si>
  <si>
    <t>Pembangunan rumah guru PAUD (OTSUS)</t>
  </si>
  <si>
    <t>Pembangun gedung PAUD (OTSUS)</t>
  </si>
  <si>
    <t>Pengadaan makanan tambahan siswa (OTSUS)</t>
  </si>
  <si>
    <t>Pembangunan rumah dinas guru (OTSUS)</t>
  </si>
  <si>
    <t>Pengadaan buku penunjang pembelajaran dan pengayaan siswa SD (OTSUS)</t>
  </si>
  <si>
    <t>Pengadaan mebeluer dan perlengkapan pendukung ruang kelas SD (OTSUS)</t>
  </si>
  <si>
    <t>Pengadaan buku penunjang pembelajaran dan pengayaan siswa SMP (OTSUS)</t>
  </si>
  <si>
    <t>Rehabilitasi gedung asrama SMP (OTSUS)</t>
  </si>
  <si>
    <t>Pelatihan kompetensi tenaga pendidik tingkat dasar (OTSUS)</t>
  </si>
  <si>
    <t>Pengadaan guru kontrak SMP (OTSUS)</t>
  </si>
  <si>
    <t>Penyediaan Biaya Operasional SD (OTSUS)</t>
  </si>
  <si>
    <t>Penyelenggaraan pendidikan Kejar Paket B (OTSUS)</t>
  </si>
  <si>
    <t>Penyelenggaraan sekolah berasrama (OTSUS)</t>
  </si>
  <si>
    <t>Penyelenggaraan UAN/UAS untuk SD/MI (OTSUS)</t>
  </si>
  <si>
    <t>Penyelenggaraan UAN/UAS untuk SMP/MTs (OTSUS)</t>
  </si>
  <si>
    <t>Penyediaan Biaya Operasional  Sekolah SMP (OTSUS)</t>
  </si>
  <si>
    <t>Penyediaan makanan dan minuman siswa/siswi berasrama SMP (OTSUS)</t>
  </si>
  <si>
    <t>Pelaksanaan pendidikan dan Pelatihan Guru Profesi (PLPG) jenjang SMP (OTSUS)</t>
  </si>
  <si>
    <t>Pelaksanaan MKKS Tingkat SMP (OTSUS)</t>
  </si>
  <si>
    <t>Pelaksanaan Manajemen Berbasis Sekolah (OTSUS)</t>
  </si>
  <si>
    <t>Seleksi siswa Afirmasi ADEM (Pendidikan Menengah) (OTSUS)</t>
  </si>
  <si>
    <t>Pelaksanaan Kelompok Kerja Guru (KKG) SD (OTSUS)</t>
  </si>
  <si>
    <t>Pelatihan calistung (OTSUS)</t>
  </si>
  <si>
    <t>Pengadaan mebelair dan perlengkapan pendukung untuk ruang kelas SMP (OTSUS)</t>
  </si>
  <si>
    <t>Pengadaan Komputer dan ICT untuk Pembelajaran dan pangkalan data pendidikan (OTSUS)</t>
  </si>
  <si>
    <t>Penyelenggaraan pendidikan kejar paket C (OTSUS)</t>
  </si>
  <si>
    <t>Penyelenggaraan UAN SMA/SMK (OTSUS)</t>
  </si>
  <si>
    <t>Pengadaan Makan dan Minum siswa/siswi SMK berasrama (OTSUS)</t>
  </si>
  <si>
    <t>Penyediaan Makanan dan Minuman Asrama SMA (OTSUS)</t>
  </si>
  <si>
    <t>Dukungan Beasiswa S1 untuk siswa/siswi OA berprestasi secara terbatas (OTSUS)</t>
  </si>
  <si>
    <t>Seleksi Siswa Unggulan untuk Sekolah Unggulan (OTSUS)</t>
  </si>
  <si>
    <t>Penyelenggaraan pelatihan Tutor keaksaraan (OTSUS)</t>
  </si>
  <si>
    <t>Pengadaan Guru Tidak Tetap SD (OTSUS)</t>
  </si>
  <si>
    <t>Pelaksanaan Pengawasan Sekolah (OTSUS)</t>
  </si>
  <si>
    <t>Pengadaaan Obat dan Pengiriman ke Puskesmas dan Jaringannya termasuk obat  ARV (OTSUS)</t>
  </si>
  <si>
    <t>Handling Cost Farmasi (OTSUS)</t>
  </si>
  <si>
    <t>Peningkatan manajemen Puskesmas dan jaringannya (OTSUS)</t>
  </si>
  <si>
    <t>Penyuluhan langsung kepada masyarakat /Penyuluhan HIV, TB dan Malaria (OTSUS)</t>
  </si>
  <si>
    <t>Pelatihan Kader bagi Kader PTM (Pos Pembinaan Terpadu Penyakit Tidak Menular) di Kabupaten Supiori (OTSUS)</t>
  </si>
  <si>
    <t>Pelatihan Kader STBM ( Sanitasi Total Berbasis Masyarakat) Di Kabupaten Supiori (OTSUS)</t>
  </si>
  <si>
    <t>Penyuluhan tentang bahaya konsumsi rokok dan penyalahgunaan obat-obatan (NAPZA) bagi remaja usia sekolah (OTSUS)</t>
  </si>
  <si>
    <t>Penanggulangan Kurang Energi Protein (KEP), Anemia Gizi Besi, Gangguan Akibat kurang Yodium (GAKY), Kurang Vitamin A, dan Kekurangan Zat Gizi Mikro Lainnya (OTSUS)</t>
  </si>
  <si>
    <t>Pemberian tambahan makanan kepada Bayi, Balita, Ibu Hamil dan Ibu Bersalin (OTSUS)</t>
  </si>
  <si>
    <t>Pemberian Kapsul Vitamin A Bagi Anak Bayi dan Balita (OTSUS)</t>
  </si>
  <si>
    <t>Perbaikan lingkungan pasca bencana / KLB (OTSUS)</t>
  </si>
  <si>
    <t>Pengawasan kualitas air (OTSUS)</t>
  </si>
  <si>
    <t>Sanitasi Berbasis Masyarakat (Pilar Ke-1) (OTSUS)</t>
  </si>
  <si>
    <t>Imuniasasi pada Balita OAP tepat waktu (OTSUS)</t>
  </si>
  <si>
    <t>Penemuan dan pengobatan penyakit HIV/AIDS (OTSUS)</t>
  </si>
  <si>
    <t>Penemuan dan pengobatan penyakit Malaria (OTSUS)</t>
  </si>
  <si>
    <t>Pencegahan dan penanggulangan penyakit Diare, ISPA, Kecacingan dan Post Eradikasi Frambosia (OTSUS)</t>
  </si>
  <si>
    <t>Transmission Assesment Survey (TAS) Filariasis di 40 SD (OTSUS)</t>
  </si>
  <si>
    <t>Pelatihan kader Program P2 Integrasi (TB, Kusta, Frambusia dan Kecacingan) (OTSUS)</t>
  </si>
  <si>
    <t>Penemuan dan deteksi dini Penyakit Tidak Menular / PTM (OTSUS)</t>
  </si>
  <si>
    <t>Penemuan Kasus TB, Konversi Pengawasan dan Kesembuhan TB Tuberkulosis (OTSUS)</t>
  </si>
  <si>
    <t>Pelatihan Kader POSBINDU PTM (Penyakit Tidak Menular) di 15 Kampung (OTSUS)</t>
  </si>
  <si>
    <t>Pencegahan daan Penanggulangan Kejadian Luar Biasa (KLB) dan SKDR (Sistem Kewaspadaan Dini Report) (OTSUS)</t>
  </si>
  <si>
    <t>Pemberantasan Penyakit Menular (OTSUS)</t>
  </si>
  <si>
    <t>Pelayanan kesehatan ibu hamil (OTSUS)</t>
  </si>
  <si>
    <t>Pelayanan Kesehatan ibu bersalin (OTSUS)</t>
  </si>
  <si>
    <t>Pelatihan kader bagi Kader Posyandu, Dukun bayi dan Bidan desa di Kabupaten Supiori (OTSUS)</t>
  </si>
  <si>
    <t>Pelayanan kesehatan bayi baru lahir (OTSUS)</t>
  </si>
  <si>
    <t>Pendidikan dan Pelatihan Formal (Otsus)</t>
  </si>
  <si>
    <t>Penyediaan Makan dan Minum Pasien (OTSUS)</t>
  </si>
  <si>
    <t>Pengembangan dan Penerapan Pengobatan Tradisional (SP3T) (OTSUS)</t>
  </si>
  <si>
    <t>Program Pengadaan, Peningkatan Sarana dan Prasarana Rumah Sakit/Rumah Sakit Jiwa/Rumah Sakit Paru-Paru/Rumah Sakit Mata</t>
  </si>
  <si>
    <t>Pengadaan alat-alat kesehatan rumah sakit (OTSUS)</t>
  </si>
  <si>
    <t>Program Kemitraan Peningkatan Pelayanan Kesehatan</t>
  </si>
  <si>
    <t>Kerjasama Dengan NGO, LSM Lokal, Tokoh Agama, Tokoh Perempuan dan Tokoh Masyarakat (OTSUS)</t>
  </si>
  <si>
    <t>Pengembangan sistem distribusi air minum (OTSUS)</t>
  </si>
  <si>
    <t>Pengadaan sarana dan prasarana pendukung usaha bagi keluarga miskin (OTSUS)</t>
  </si>
  <si>
    <t>Pembinaan dan Pemberdayaan Komunitas Adat Terpencil (KAT) (OTSUS)</t>
  </si>
  <si>
    <t>Pelatihan Keterampilan Berusaha Bagi Kelaurga Kurang Mampu (OTSUS)</t>
  </si>
  <si>
    <t>Sekretariat Daerah</t>
  </si>
  <si>
    <t>Pengadaan Beras untuk Masyarakat Miskin / RASKIN (OTSUS)</t>
  </si>
  <si>
    <t>Pengadaan fasilitas peribadatan rutin bulanan (OTSUS)</t>
  </si>
  <si>
    <t>Dinas Tenaga Kerja, Koperasi, Usaha Mikro Kecil Dan Menengah</t>
  </si>
  <si>
    <t>Penyusunan data base tenaga kerja daerah (OTSUS)</t>
  </si>
  <si>
    <t>Pelaksanaan kebijakan perlindungan perempuan di daerah (OTSUS)</t>
  </si>
  <si>
    <t>Pelatihan bagi pelatih (TOT) SDM pelayanan dan pedampingan korban KDRT (OTSUS)</t>
  </si>
  <si>
    <t>Sosialisasi dan advokasi kebijakan penghapusan buta aksara perempuan (PBAP) (OTSUS)</t>
  </si>
  <si>
    <t>Pelaksanaan Kebijakan Perlindungan Perempuan di Distrik dan Kampung (OTSUS)</t>
  </si>
  <si>
    <t>Pendidikan dan Pelatihan Peningkatan Peran Serta dan Kesetaraan Gender (OTSUS)</t>
  </si>
  <si>
    <t>Pembinaan Organisasi Perempuan (OTSUS)</t>
  </si>
  <si>
    <t>Bimbingan Manajemen Usaha Bagi Perempuan Dalam Mengelolah Usaha (OTSUS)</t>
  </si>
  <si>
    <t>Pameran Hasil Karya Perempuan Dibidang Pembangunaan (OTSUS)</t>
  </si>
  <si>
    <t>Workshop peningkatan peran perempuan dalam pengambilan keputusan (OTSUS)</t>
  </si>
  <si>
    <t>Pelayanan KIE (OTSUS)</t>
  </si>
  <si>
    <t>Peningkatan Perlindungan Hak Reproduksi Individu (OTSUS)</t>
  </si>
  <si>
    <t>Pemberian bantuan fasilitas dan permodalan (OTSUS)</t>
  </si>
  <si>
    <t>Pendampingan bagi pelaku usaha ekonomi masyarakat OAP sesuai dengan karateristik sosial budaya setempat (OTSUS)</t>
  </si>
  <si>
    <t>Pemberdayaan kewirausahaan kelompok pengusaha OAP produk lokal (OTSUS)</t>
  </si>
  <si>
    <t>Peningkatan kualitas Sumber Daya Manusia pelaku usaha mini mikro, mikro dan kecil (OTSUS)</t>
  </si>
  <si>
    <t>Sosialisasi dan pemantauan Penyaluran KUR, PKBL dan Dana dari Lembaga Keuangan (OTSUS)</t>
  </si>
  <si>
    <t>Peningkatan kualitas manajemen UKM (OTSUS)</t>
  </si>
  <si>
    <t>Penyiapan Keputusan Bupati tentang pembentukan dan pengaturan koperasi masyarakat adat serta Pusat Koperasi Masyarakat (KOPERMAS) sebagai wadah organisasi pelaku usaha OAP (OTSUS)</t>
  </si>
  <si>
    <t>Pembinaan koperasi peran serta Masyarakat Adat Asli Papua (OTSUS)</t>
  </si>
  <si>
    <t>Pelestarian Benda Cagar Budaya Supiori 2018 (OTSUS)</t>
  </si>
  <si>
    <t>Penyelenggaraan Festival Seni Kreasi Supiori (OTSUS)</t>
  </si>
  <si>
    <t>Pelatihan pengolahan produk bernilai tambah bagi ibu-ibu Nelayan (OTSUS)</t>
  </si>
  <si>
    <t>Magang Ibu-Ibu Nelayan Pengelolahan Hasil Perikanan (OTSUS)</t>
  </si>
  <si>
    <t>Pembinaan Kelompok Ekonomi Masyarakat Pesisir (OTSUS)</t>
  </si>
  <si>
    <t>Pembinaan dan Pengembangan Perikanan (OTSUS)</t>
  </si>
  <si>
    <t>Pembinaan dan Pengembangan Budidaya Perikanan (OTSUS)</t>
  </si>
  <si>
    <t>Pendampingan pada kelompok Tani Pembudidaya Ikan (OTSUS)</t>
  </si>
  <si>
    <t>Pendampingan Kelompok Pembudidaya (OTSUS)</t>
  </si>
  <si>
    <t>Pendampingan Kelompok Pembudidaya 5 Kelompok (OTSUS)</t>
  </si>
  <si>
    <t>Pengembangan Bibit Ikan Unggul dan Pakan (OTSUS)</t>
  </si>
  <si>
    <t>Pengembangan Bibit ikan Unggul (OTSUS)</t>
  </si>
  <si>
    <t>Penyediaan Peralatan tangkap bagi Nelayan OAP (POS Perikanan Terpadu) (OTSUS)</t>
  </si>
  <si>
    <t>Pengadaan Alat Tangkap Rawai Dasar dan Jaring Milenium (OTSUS)</t>
  </si>
  <si>
    <t>Pembudidayaan ikan air tawar/ air payau (OTSUS)</t>
  </si>
  <si>
    <t>Pembangunan Tempat Pelelangan Ikan (TPI)  (OTSUS)</t>
  </si>
  <si>
    <t>Pendampingan pada kelompok Nelayan Perikanan Tangkap OAP (OTSUS)</t>
  </si>
  <si>
    <t>Pengembangan Lembaga Usaha Perdagangan Perikanan Tangkap Nelayan OAP (OTSUS)</t>
  </si>
  <si>
    <t>Pelatihan standar operasional prosedur (SOP) cotage dan Hotel (OTSUS)</t>
  </si>
  <si>
    <t>Fasilitasi pembentukan himpunan pramuwisata indonesia Kab. Supiori (OTSUS)</t>
  </si>
  <si>
    <t>Sosialisasi Sadar Wisata dan Kampung Wisata (OTSUS)</t>
  </si>
  <si>
    <t>Penyuluhan dan pendampingan petani dan pelaku agribisnis (OTSUS)</t>
  </si>
  <si>
    <t>Pengembangan Bibit Lokal Pertanian/Perkebunan (OTSUS)</t>
  </si>
  <si>
    <t>Peningkatan Pengetahuan dan Keterampilan Petani (Magang) (OTSUS)</t>
  </si>
  <si>
    <t>Penyuluhan sumber pangan Spesifik Lokal (OTSUS)</t>
  </si>
  <si>
    <t>Penganekaragaman Pangan Spesifik Lokal/Lomba Cipta Menu (OTSUS)</t>
  </si>
  <si>
    <t>Pengembangan Pemasaran Hasil Tanaman Pangan dan Hortikultura (OTSUS)</t>
  </si>
  <si>
    <t>Pelatihan dan bimbingan pengoperasian teknologi pertanian/perkebunan tepat guna (OTSUS)</t>
  </si>
  <si>
    <t xml:space="preserve"> Pengembangan bibit unggul komoditas perkebunan spesifik lokal (OTSUS)</t>
  </si>
  <si>
    <t>Pembangunan Gudang/Tempat Hasil di Tingkat Pasar (OTSUS)</t>
  </si>
  <si>
    <t>Penyediaan Sarana Produksi Pertanian (OTSUS)</t>
  </si>
  <si>
    <t>Penyuluhan Peningkatan Produksi Pertanian/Perkebunan (OTSUS)</t>
  </si>
  <si>
    <t>Pengadaan Sarana Produksi Pertanian (OTSUS)</t>
  </si>
  <si>
    <t>Penanganan Pasca Panen Produk Pangan Asal Hewan (OTSUS)</t>
  </si>
  <si>
    <t>Program peningkatan produksi peternakan</t>
  </si>
  <si>
    <t>Pelayanan Pengujian Produk Hewan di Masyarakat (OTSUS)</t>
  </si>
  <si>
    <t>Pembangunan Pembangkit Tenaga Listrik Tenaga Mikro Hidro/PLTMH (OTSUS)</t>
  </si>
  <si>
    <t>Kegiatan penataan tempat berusaha bagi  pedagang kakilima dan asongan (OTSUS)</t>
  </si>
  <si>
    <t>Pelatihan manajemen usaha bagi pedagang asli (OTSUS)</t>
  </si>
  <si>
    <t>Pelatihan Peningkatan Mutu Produksi VCO dan Minyak Kelapa di Doubo, Syurdori dan Waryesi (OTSUS)</t>
  </si>
  <si>
    <t>Pelatihan Peningkatan Mutu Produksi Pengolahan Abon Ikan di Warbefondi  (OTSUS)</t>
  </si>
  <si>
    <t>Pelatihan Peningkatan Mutu Pembuatan Tepung Sagu dan Produk Olahannya (OTSUS)</t>
  </si>
  <si>
    <t>Penyusunan Buku Orang Asli Papua (OAP) Dalam Angka (OTSUS)</t>
  </si>
  <si>
    <t>Perencanaan dan Penetapan URD OTSUS (OTSUS)</t>
  </si>
  <si>
    <t>Monitoring, Evaluasi dan Pelaporan URD OTSUS (OTSUS)</t>
  </si>
  <si>
    <t>Badan Pengelolaan Keuangan Daerah (BPKAD)/PPKD</t>
  </si>
  <si>
    <t>Belanja Bantuan Sosial Kepada Kelompok Masyarakat pada Bagian KESRA Sekretariat Daerah (OTSUS)</t>
  </si>
  <si>
    <t>Fasilitasi Dana Stimulan Operasional Dewan Adat</t>
  </si>
  <si>
    <t>Bantuan Sosial kepada kelompok Fasilitas dan Permodalan Bagi Pelaku Usaha (5 Kelompok) 5 Distrik (OTSUS)</t>
  </si>
  <si>
    <t>Bantuan Sosial Fasilitas dan Permodalan Bagi Pelaku Usaha (5 Kelompok) 5 Distrik (OTSUS)</t>
  </si>
  <si>
    <t>20</t>
  </si>
  <si>
    <t>KABUPATEN MAMBERAMO RAYA</t>
  </si>
  <si>
    <t xml:space="preserve">Program Pendidikan Luar Sekolah (PLS)  </t>
  </si>
  <si>
    <t>Penyediaan Bantuan Operasional PAUD (OTSUS)</t>
  </si>
  <si>
    <t xml:space="preserve">Program Pendidikan Dasar (Wajib Belajar Sembilan Tahun)   </t>
  </si>
  <si>
    <t>Pembangunan Rumah Guru Sd Inpres N Biri Distrik Roufaer (OTSUS)</t>
  </si>
  <si>
    <t>Pembangunan Rumah Guru Smp N Bonoy (OTSUS)</t>
  </si>
  <si>
    <t>Pembangunan Rumah Guru Sd Inpres Trimuris 2 Kopel (OTSUS)</t>
  </si>
  <si>
    <t>Pembangunan Rumah Guru Sd Baitanisa Distrik Benuki (OTSUS)</t>
  </si>
  <si>
    <t>Pembangunan Rumah Guru Sd Bareri Distrik Roufaer (OTSUS)</t>
  </si>
  <si>
    <t>Pembangunan Rumah Guru Sd Kai Distrik Roufaer (OTSUS)</t>
  </si>
  <si>
    <t>Pembangunan Rumah Guru Sd Kodeco Gesa Distrik Benuki (OTSUS)</t>
  </si>
  <si>
    <t>Pembangunan Rumah Guru Sd Sasakwesar Distrik Iwaso (OTSUS)</t>
  </si>
  <si>
    <t>Bos SD, SMP (OTSUS)</t>
  </si>
  <si>
    <t>Festival Lomba Seni Siswa Nasional (FLS2N) (OTSUS)</t>
  </si>
  <si>
    <t>Olimpiade Olahraga Siswa Nasional (O2SN) (OTSUS)</t>
  </si>
  <si>
    <t>Bantuan Operasional Manajemen Mutu (BOMM) (OTSUS)</t>
  </si>
  <si>
    <t>Olimpiade Sains Nasional (OSN) (OTSUS)</t>
  </si>
  <si>
    <t>Pendidikan Non-Formal</t>
  </si>
  <si>
    <t>Penyelenggaraan Keaksaraan Fungsional (OTSUS)</t>
  </si>
  <si>
    <t>Penyelenggaraan Keaksaraan Usaha Mandiri (OTSUS)</t>
  </si>
  <si>
    <t>Pelaksanaan Kerjasama Secara Kelembagaan di Bidang Pendidikan (Yayasan ALIRENA/SAI) (OTSUS)</t>
  </si>
  <si>
    <t xml:space="preserve">Program Obat Dan Perbekalan Kesehatan   </t>
  </si>
  <si>
    <t>Pengadaan Obat Dan Pengiriman Ke Puskesmas Dan Jaringannya Termasuk Obat ARV (OTSUS)</t>
  </si>
  <si>
    <t>Bantuan Operasional Puskesmas (OTSUS)</t>
  </si>
  <si>
    <t>Pembayaran Honor Kader Posyandu (OTSUS)</t>
  </si>
  <si>
    <t xml:space="preserve">Program Promosi Kesehatan Dan Pemberdayaan Masyarakat </t>
  </si>
  <si>
    <t>Pengembangan Media Promosi (OTSUS)</t>
  </si>
  <si>
    <t xml:space="preserve">Program Perbaikan Gizi Masyarakat    </t>
  </si>
  <si>
    <t>Pemberian Kapsul Vitamin A Bagi Anak Bayi Dan Balita (OTSUS)</t>
  </si>
  <si>
    <t>KIE Pemanfaatan Menu Seimbang Dan Makanan Lokal Setempat (OTSUS)</t>
  </si>
  <si>
    <t>Pemberian Makanan Tambahan Kepada Bayi, Balita, Dan Ibu Hamil (OTSUS)</t>
  </si>
  <si>
    <t xml:space="preserve"> Penaggulangan Kurang Energi Protein (KEP), Anemia Gizi Besi, Gangguan Akibat Kurang Yodium (GAKY), Kurang Vitamin A, Dan Kekurangan Zat Gizi Mikro Lainnya  (OTSUS)</t>
  </si>
  <si>
    <t xml:space="preserve"> Pelacakan Dan Penanganan Kasus Gizi Buruk (OTSUS)</t>
  </si>
  <si>
    <t xml:space="preserve">Program Pengembangan Lingkungan Sehat   </t>
  </si>
  <si>
    <t>Pengawasan Kwalitas Air (OTSUS)</t>
  </si>
  <si>
    <t xml:space="preserve">Program Pencegahan Dan Penanggulangan Penyakit Menular    </t>
  </si>
  <si>
    <t>Penanggulangan TBC, Malaria, Filaria, Frambusia, Kusta, Taeniasis, Penyakit Tidak Menular (OTSUS)</t>
  </si>
  <si>
    <t xml:space="preserve">Program Pengadaan, Peningkatan Dan Perbaikan Sarana Dan Prasarana Puskesmas/Puskesmas Pembantu Dan Jaringannya    </t>
  </si>
  <si>
    <t>Pengadaan Sarana Dan Prasarana Puskesmas (OTSUS)</t>
  </si>
  <si>
    <t xml:space="preserve">Program Peningkatan Pelayanan Kesehatan Lansia  </t>
  </si>
  <si>
    <t xml:space="preserve">Program Sumber Daya Kesehatan    </t>
  </si>
  <si>
    <t>Program Pengembangan Dan Pengelolaan Jaringan Irigasi, Rawa Dan Jaringan Pengairan Lainnya</t>
  </si>
  <si>
    <t>Pembangunan Jaringan Bersih/Air Minum (OTSUS)</t>
  </si>
  <si>
    <t xml:space="preserve">Dinas Perumahan dan Kawasan Pemukiman </t>
  </si>
  <si>
    <t>Pembangunan Rumah (OTSUS)</t>
  </si>
  <si>
    <t>Badan Perencanaan, Penelitian dan Pengembangan</t>
  </si>
  <si>
    <t xml:space="preserve">Program  Perencanaan Pembangunan Daerah  </t>
  </si>
  <si>
    <t>Monitoring Evaluasi Pengendalian Dan Pelaporan Pelaksanaan Rencana Pembangunan (Monitoring Dana OTSUS) (OTSUS)</t>
  </si>
  <si>
    <t xml:space="preserve">Program Peningkatan Administrasi Kependudukan    </t>
  </si>
  <si>
    <t>Pemutakhiran Data Penduduk OAP (Orang Asli Papua) (OTSUS)</t>
  </si>
  <si>
    <t xml:space="preserve">Program Penguatan Kelembagaan Pengarusutamaan Gender Dan Anak    </t>
  </si>
  <si>
    <t>Kegiatan Advokasi Dan Fasilitasi Pug Bagi Masyarakat Dan Asn Esalon II, III, dan IV  (OTSUS)</t>
  </si>
  <si>
    <t xml:space="preserve">Program Peningkatan Peran Serta Dan Kesetaraan Jender Dalam Pembangunan  </t>
  </si>
  <si>
    <t>Pendidikan Dan Pelatihan Peningkatan Peran Serta Dan Kesetaraan Gender  (OTSUS)</t>
  </si>
  <si>
    <t>Penyuluhan Bagi Ibu Rumah Tangga Dalam Memambangun Keluarga Sejahtera  (OTSUS)</t>
  </si>
  <si>
    <t>Kegiatan Pelaksanaan Sosialisasi Yang Terkait Dgn Gender P2PA (OTSUS)</t>
  </si>
  <si>
    <t>Dinas Sosial, Tenaga Kerja dan Transmigrasi</t>
  </si>
  <si>
    <t xml:space="preserve">Program Pemberdayaan Kelembagaan Kesejahteraan Sosial    </t>
  </si>
  <si>
    <t>Pembangunan Gedung Gereja (OTSUS)</t>
  </si>
  <si>
    <t>Dinas Koperasi Usaha Mikro Kecil dan Menengah</t>
  </si>
  <si>
    <t xml:space="preserve">Program Pengembangan Kewirausahaan Dan Keunggulan Kompetitif Usaha Kecil Menengah  </t>
  </si>
  <si>
    <t>Pelatihan Pengelolaan  Koperasi Bagi Masyarakat Asli Papua (OTSUS)</t>
  </si>
  <si>
    <t>Pelatihan Pembuatan Keripik Singkong Dan Pisang Bagi Ukm Di Trimuris (OTSUS)</t>
  </si>
  <si>
    <t>Pelatihan Pengolahan Dan Pemasaran Ikan Asin Mujair Kampung Bagusa (OTSUS)</t>
  </si>
  <si>
    <t>Pelatihan Kewirausahaan Bagi Masyarakat Asli Papua (OTSUS)</t>
  </si>
  <si>
    <t>Fasilitasi Pengembangan Usaha Kecil Menengah (OTSUS)</t>
  </si>
  <si>
    <t xml:space="preserve">Program Peningkatan Sistem Pengawasan Internal  </t>
  </si>
  <si>
    <t>Pelaksanaan Pengawasan Internal Dana Otonomi Khusus (OTSUS)</t>
  </si>
  <si>
    <t xml:space="preserve">Program Peningkatan Ketahanan Pangan Pertanian/Perkebunan    </t>
  </si>
  <si>
    <t>Pengembangan Komoditas Unggulan Hortikultura Spesifik Papua (Pengembangan Buah Merah) (OTSUS)</t>
  </si>
  <si>
    <t xml:space="preserve">Program Peningkatan Penerapan Teknologi Pertanian/Perkebunan   </t>
  </si>
  <si>
    <t>Pembangunan Sarana Dan Prasarana Pembibitan Ternak (OTSUS)</t>
  </si>
  <si>
    <t xml:space="preserve">Program Peningkatan Produksi Hasil Peternakan    </t>
  </si>
  <si>
    <t>Pengembangan Agribisnis Peternakan (OTSUS)</t>
  </si>
  <si>
    <t xml:space="preserve">Program Peningkatan Penerapan Teknologi Peternakan   </t>
  </si>
  <si>
    <t>Pelatihan Dan Bimbingan Penerapan Teknologi Peternakan Tepat Guna (OTSUS)</t>
  </si>
  <si>
    <t>Dinas Pariwisata dan Kebudayaan</t>
  </si>
  <si>
    <t xml:space="preserve">Program Pengelolaan Kekayaan Budaya    </t>
  </si>
  <si>
    <t>Perlindungan,Pembinaan Dan Pengembangan Kebudayaan Asli Papua (OTSUS)</t>
  </si>
  <si>
    <t xml:space="preserve">Program Pemberdayaan Ekonomi Masyarakat Pesisir    </t>
  </si>
  <si>
    <t>Penyediaan Prasarana Pemberdayaan (OTSUS)</t>
  </si>
  <si>
    <t xml:space="preserve">Program Pengembangan Perikanan Tangkap  </t>
  </si>
  <si>
    <t>Pendampingan Pada Kelompok Nelayan Perikanan Tangkap (OTSUS)</t>
  </si>
  <si>
    <t xml:space="preserve">Program Pengembangan Kawasan Budidaya Laut, Air Payau Dan Air Tawar    </t>
  </si>
  <si>
    <t xml:space="preserve">Pengembangan Pengolahan Hasil Perikanan   </t>
  </si>
  <si>
    <t>Pendampingan Pada Kelompok Nelayan Perikanan Tangkap OAP (OTSUS)</t>
  </si>
  <si>
    <t xml:space="preserve">Program Peningkatan Kualitas Kelembagaan Koperasi   </t>
  </si>
  <si>
    <t>Peningkatan Kualitas Pelayanan Dan Pemenuhan Standar / Ketentuan Pengelolaan Koperasi (OTSUS)</t>
  </si>
  <si>
    <t xml:space="preserve">Pembinaan Dan Pendampingan Pelaku Usaha Ekonomi Kerakyatan    </t>
  </si>
  <si>
    <t>Pelatihan Dan Pengembangan Pembuatan Kursi Rotan Bagi OAP (OTSUS)</t>
  </si>
  <si>
    <t>Pelatihan Dan Pembinaan Pengembangan Buah Merah (OTSUS)</t>
  </si>
  <si>
    <t>Pelatihan Pengolahan Hasil Laut Bagi OAP (OTSUS)</t>
  </si>
  <si>
    <t>Pelatihan Pengolahan Sagu  Bagi OAP (OTSUS)</t>
  </si>
  <si>
    <t>Pengadaan Sarana Pengolahan Mesin Buah Merah  (OTSUS)</t>
  </si>
  <si>
    <t>Pengadaan Sarana Pengolahan Mesin Sagu (OTSUS)</t>
  </si>
  <si>
    <t>Fasilitasi Bagi PKL  Orang Asli Mamberamo Raya (OTSUS)</t>
  </si>
  <si>
    <t>Pameran Industri Kerajinan Pada Kegiatan Festival Danau Sentani (OTSUS)</t>
  </si>
  <si>
    <t>Pemberdayaan Kewirausahaan Kelompok Pengusaha OAP Produk Local (OTSUS)</t>
  </si>
  <si>
    <t>21</t>
  </si>
  <si>
    <t>KABUPATEN NDUGA</t>
  </si>
  <si>
    <t>Dinas Pendidikan, Kebudayaan, dan Pariwisata</t>
  </si>
  <si>
    <t>Pelatihan Tenaga Tutor Pendidikan Anak Usia Dini</t>
  </si>
  <si>
    <t>Pengadaan Buku-buku dan Alat Tulis Siswa</t>
  </si>
  <si>
    <t>Penyediaan Jasa Tenaga Tutor</t>
  </si>
  <si>
    <t>Pembangunan Gedung Ruang Kelas Baru</t>
  </si>
  <si>
    <t>Pembangunan perpustakaan sekolah</t>
  </si>
  <si>
    <t>Penyediaan Belanja Operasional Sekolah Dasar (BOS) Jenjang SD, SMP</t>
  </si>
  <si>
    <t>Penyediaan Jasa Tenaga Guru Kontrak TK, SD, SMP, SMA dan SMK</t>
  </si>
  <si>
    <t>Pengadaan Guru Kontrak TK,SD,SMP,SMA,SMK Kerjasama Perguruan Tinggi</t>
  </si>
  <si>
    <t>Penyediaan Beasiswa Melanjutkan (Transisi) untuk orang asli papua</t>
  </si>
  <si>
    <t>Penyediaan Biaya Operasional Sekolah (BOS) jenjang SMA, SMK</t>
  </si>
  <si>
    <t>Pelaksanaan Sertifikasi Pendidik</t>
  </si>
  <si>
    <t>Pendidikan dan Pelatihan bagi Pendidik dan Tenaga Kependidikan Guru Pembelajar (K13) Guru TK,SD,SMP,SMA dan SMK</t>
  </si>
  <si>
    <t>Pengadaan Obat dan perbekalan Kesehatan</t>
  </si>
  <si>
    <t>Pelayanan Kesehatan Ibu dan Anak</t>
  </si>
  <si>
    <t xml:space="preserve">Pelayanan Rujukan bagi Masyarakat  Miskin </t>
  </si>
  <si>
    <t xml:space="preserve">Pelayanan pencegahan dan penanggulangan penyakit menular </t>
  </si>
  <si>
    <t>Program Pengadaan, Peningkatan dan Perbaikan Sarana dan Prasarana Puskesmas/Puskesmas Pembantu dan Jaringannya</t>
  </si>
  <si>
    <t>Pengadaan sarana dan prasarana puskesmas pembantu</t>
  </si>
  <si>
    <t>Imunisasi pada balita OAP tepat waktu</t>
  </si>
  <si>
    <t>Peningkatan Peran POSYANDU</t>
  </si>
  <si>
    <t>Program Peningkatan Keselamatan Ibu Melahirkan dan Balita</t>
  </si>
  <si>
    <t>Peningkatan dan pemeliharaan kesehatan ibu dan bayi baru lahir OAP</t>
  </si>
  <si>
    <t>Peningkatan kualitas SDM kesehatan melalui penyediaan beasiswa D3, D4, S1, S2 kesehatan</t>
  </si>
  <si>
    <t>Penyediaan tenaga kesehatan tidak tetap</t>
  </si>
  <si>
    <t xml:space="preserve">Dinas Pekerjaan Umum, Tata Ruang Permukiman dan Pertanahan </t>
  </si>
  <si>
    <t>Program Pembangunan Jalan dan Jembatan</t>
  </si>
  <si>
    <t>Pembangunan Jembatang Gantung (Otsus)</t>
  </si>
  <si>
    <t>Pembangunan Rumah Layak Huni Bagi OAP (Otsus)</t>
  </si>
  <si>
    <t>Pengadaan dan Pendistribusian Beras Rastra</t>
  </si>
  <si>
    <t>Program Pemberdayaan Fakir Miskin, Komunitas Adat Terpencil (KAT) dan Penyandang Masalah Kesejahteraan Sosial (PMKS)</t>
  </si>
  <si>
    <t>Program peningkatan kualitas dan produktifitas tenaga kerja</t>
  </si>
  <si>
    <t>Pendidikan dan pelatihan ketrampilan bagi pencari kerja</t>
  </si>
  <si>
    <t xml:space="preserve">Program Pembangunan Sarana dan Prasarana Perhubungan </t>
  </si>
  <si>
    <t>Pembangunan Ruang Tunggu dan Gudang Bandara</t>
  </si>
  <si>
    <t>Peningkatan Lapangan Terbang Kenyam</t>
  </si>
  <si>
    <t xml:space="preserve">Pengembangan Database Kependudukan Orang Asli Papua </t>
  </si>
  <si>
    <t>Dinas Pemberdayaan Perempuan Perlindungan Anak dan Keluarga Berencana</t>
  </si>
  <si>
    <t>Pendidikan dan pelatihan peningkatan peran serta dan kesetaraan jender</t>
  </si>
  <si>
    <t>Penyuluhan bagi ibu rumah tangga dalam membangun keluarga sejahtera</t>
  </si>
  <si>
    <t xml:space="preserve">Dinas Pertanian dan Ketahanan Pangan </t>
  </si>
  <si>
    <t xml:space="preserve">Pelatihan Petani dan Pelaku Agribisnis    </t>
  </si>
  <si>
    <t>Penyuluhan dan Pendampingan Petani dan Pelaku Agribisnis OAP</t>
  </si>
  <si>
    <t xml:space="preserve">Pengembangan teknologi tepat guna sebagai upaya mendukung peningkatan produktifitas Tanaman pangan dan hortikultura    </t>
  </si>
  <si>
    <t xml:space="preserve">Pengembangan komoditas unggulan tanaman pangan spesifik papua    </t>
  </si>
  <si>
    <t>Program Peningkatan Produksi Pertanian dan Perkebunan</t>
  </si>
  <si>
    <t>Program Peningkatan Produksi  Peternakan</t>
  </si>
  <si>
    <t>Pembangunan Srana dan Prasarana Pembibitan Ternak</t>
  </si>
  <si>
    <t>Pembelian dan Pendistribusian Vaksin dan Pakan Ternak</t>
  </si>
  <si>
    <t>Program Pengembangan Budi Daya Perikanan</t>
  </si>
  <si>
    <t>Pendampingan pada kelompok tani pembudidaya ikan</t>
  </si>
  <si>
    <t>Pembinaan dan pengembangan perikanan</t>
  </si>
  <si>
    <t>Program Pengembangan Kawasan Budidaya Laut, Air Payau dan Air Tawar</t>
  </si>
  <si>
    <t>Pengembangan / pembangunan dan rehabilitasi sarana budi daya air tawar / payau</t>
  </si>
  <si>
    <t>Dinas Perindustrian, Perdagangan dan Koperasi UKM</t>
  </si>
  <si>
    <t>Badan Perencanaan, Pembangunan, Penelitian dan Pengembangan Daerah</t>
  </si>
  <si>
    <t xml:space="preserve">Penyusunan Program Dan Kegiatan OTSUS    </t>
  </si>
  <si>
    <t>Monitoring dan evaluasi kegiatan OTSUS</t>
  </si>
  <si>
    <t>Belanja Bantuan Sosial Keagamaan</t>
  </si>
  <si>
    <t>Belanja Bantuan Sosial kepada Lembaga Adat</t>
  </si>
  <si>
    <t>22</t>
  </si>
  <si>
    <t>KABUPATEN LANNY JAYA</t>
  </si>
  <si>
    <t>Penyediaan Biaya Operasional Kegiatan Ekstrakurikuler SD</t>
  </si>
  <si>
    <t>Penyediaan BOP Untuk SD dan SMP</t>
  </si>
  <si>
    <t>Penyelenggaran Sekolah Unggulan</t>
  </si>
  <si>
    <t>Pencetakan Kartu NISN Siswa SD dan SMP</t>
  </si>
  <si>
    <t xml:space="preserve">Pengembangan Asrama SMP </t>
  </si>
  <si>
    <t xml:space="preserve"> Pembangunan Gedung Asrama SMP</t>
  </si>
  <si>
    <t>Pengadaan Meubelair SMP</t>
  </si>
  <si>
    <t>Pembangunan Gedung SMP</t>
  </si>
  <si>
    <t>Pembangunan Rumah Dinas Guru SMP</t>
  </si>
  <si>
    <t>Biaya Operasional Pendukung Kegiatan Ekstrakulikuler SMA</t>
  </si>
  <si>
    <t>Pengadaan Guru Kontrak SD</t>
  </si>
  <si>
    <t xml:space="preserve"> Pelatihan KKG untuk Guru SD dan SMP</t>
  </si>
  <si>
    <t>Musyawarah Guru Mata Pelajaran</t>
  </si>
  <si>
    <t>Pelatihan Kurikulum 2013</t>
  </si>
  <si>
    <t>Penyusunan Angka Kredit Guru</t>
  </si>
  <si>
    <t>Pelatihan Penjamin Mutu Pendidikan</t>
  </si>
  <si>
    <t xml:space="preserve">Pengadaan Obat dan Perbekalan Kesehatan </t>
  </si>
  <si>
    <t>Distribusi Obat dan Perbekalan Kesehatan</t>
  </si>
  <si>
    <t>Peningkatan Kualitas Pelayanan</t>
  </si>
  <si>
    <t>Program Peningkatan Pelayanan Rumah Sakit</t>
  </si>
  <si>
    <t>Pengadaan Jasa Tenaga Medis Kontrak</t>
  </si>
  <si>
    <t>Program Pencegahan Dan Penanggulangan Penyakit Menular</t>
  </si>
  <si>
    <t>Pencegahan dan Pembarantasan IMS dan HIV/AIDS</t>
  </si>
  <si>
    <t>Penyediaan Vaksin dan Tempat Penyimpanan Vaksin</t>
  </si>
  <si>
    <t>Program Pengadaan, Peningkatan Dan Perbaikan Sarana Dan Prasarana Puskesmas/Puskesmas Pembantu</t>
  </si>
  <si>
    <t>Pembangunan Rumah Dokter</t>
  </si>
  <si>
    <t xml:space="preserve"> Peningkatan Kualitas Tenaga Kesehatan Puskesmas dan Jaringannya</t>
  </si>
  <si>
    <t>Program Pembangunan Jalan</t>
  </si>
  <si>
    <t>Pembangunan Jalan Balingga - Balingga Barat</t>
  </si>
  <si>
    <t>Pembangunan Jalan Poga - Muara</t>
  </si>
  <si>
    <t>Monitoring, Evaluasi, Pengendalian dan Pelaporan Pelaksanaan Dana OTSUS</t>
  </si>
  <si>
    <t>Pengembangan Database Kependudukan OAP</t>
  </si>
  <si>
    <t>Dinas Pemberdayaan Perempuan dan Keluarga Berencana</t>
  </si>
  <si>
    <t xml:space="preserve">Kegiatan pembinaan organisasi perempuan </t>
  </si>
  <si>
    <t>Sosialisi dan advokasi kebijakan Penghapusan buta aksara perempuan (PBAP) OAP didistrik dan kampung</t>
  </si>
  <si>
    <t>Program Penguatan Kelembagaan Pengarusutamaan Gender</t>
  </si>
  <si>
    <t>Pemberdayaan Lembaga yang Berbasis Gender</t>
  </si>
  <si>
    <t xml:space="preserve">Program Pemberdayaan Kelembagaan Kesejahteraan Sosial </t>
  </si>
  <si>
    <t>Afirmasi Lembaga Agama</t>
  </si>
  <si>
    <t>Afirmasi Lembaga Masyarakat Adat Asli</t>
  </si>
  <si>
    <t>Program Pencegahan Dini dan Penanggulangan Bencana Alam</t>
  </si>
  <si>
    <t>Penanggulangan KLB, Krisis/masalah Kesehatan Termasuk Korban Bencana</t>
  </si>
  <si>
    <t>Penyiapan Tenaga Kerja Siap Pakai OAP</t>
  </si>
  <si>
    <t>Pendidikan dan pelatihan keterampilan bagi pencari kerja OAP</t>
  </si>
  <si>
    <t>Perlindungan, Pembinaan dan Pengembangan Kebudayaan Asli Papua</t>
  </si>
  <si>
    <t>Badan Pendapatan, Pengelolaan  Keuangan dan Aset Daerah</t>
  </si>
  <si>
    <t>Program Peningkatan Pengembangan Sistem Pelaporan Capaian Kinerja dan Keuangan</t>
  </si>
  <si>
    <t>Penyusunan Rancangan Program/Kegiatan dan Pelaporan Realisasi OTSUS</t>
  </si>
  <si>
    <t>Pelaksanaan Pengendalian dan Pengawasan Program kegiatan OTSUS</t>
  </si>
  <si>
    <t>23</t>
  </si>
  <si>
    <t>KABUPATEN MAMBERAMO TENGAH</t>
  </si>
  <si>
    <t>Pengadaan Meubelair Sekolah (Siswa, Guru, Perpustakaan)</t>
  </si>
  <si>
    <t>Pengadaan Pendidikan PAUD Non Formal dan Formal</t>
  </si>
  <si>
    <t>Pembangunan Gedung Sekolah PAUD Non Formal dan Formal/ terpadu</t>
  </si>
  <si>
    <t>Pembangunan Rumah Dinas Guru lengkap dengan Perlengkapannya</t>
  </si>
  <si>
    <t>Pengadaan Alat Permainan Edukatif Indoor dan Outdoor</t>
  </si>
  <si>
    <t>Pengadaan Bahan Habis Pakai untuk Penyediaan Pendukung Pembelajaran</t>
  </si>
  <si>
    <t>Program Wajib Belajar Pendidikan Sembilan Tahun</t>
  </si>
  <si>
    <t>Penyediaan Biaya Operasional bagi Lembaga Penyelenggara KF</t>
  </si>
  <si>
    <t>Pengembangan Model Pendidikan Keaksaraan yang sesuai dengan Kondisi Sosial Budaya Setempat</t>
  </si>
  <si>
    <t>Program Pendidikan Wajib Belajar Sebilan Tahun (jenjang SD)</t>
  </si>
  <si>
    <t>Pengadaan Guru Kontrak</t>
  </si>
  <si>
    <t>Pembangunan Rumah Dinas Guru dan Kepala Sekolah serta perlengkapannya</t>
  </si>
  <si>
    <t>Program Pendidikan Wajib Belajar Sebilan Tahun (jenjang SMP)</t>
  </si>
  <si>
    <t>Pengadaan Pendidikan (Guru Kontrak)</t>
  </si>
  <si>
    <t>Penyediaan Tunjangan Khusus Guru didaerah terpencil dan terisolir</t>
  </si>
  <si>
    <t>Pengadaan Makan dan Minum Siswa/Siswi SMA Berasrama</t>
  </si>
  <si>
    <t>Penambahan Ruang Kelas SMA Reguler</t>
  </si>
  <si>
    <t>Program Bantuan Sosial Bidang Pendidikan</t>
  </si>
  <si>
    <t>Bantuan Pendidikan/ Beasiswa</t>
  </si>
  <si>
    <t>Pengadaan Obat dan Pengiriman ke Puskesmas dan jarirangannya termasuk Obat ARV</t>
  </si>
  <si>
    <t>Peningkatan Manajemen Puskesmas</t>
  </si>
  <si>
    <t>Bantuan Operasional Kesehatan, upaya Kesehatan Rujukan dan Pelayanan Kesehatan Ibu dan Anak</t>
  </si>
  <si>
    <t>Pelatihan Kader</t>
  </si>
  <si>
    <t xml:space="preserve">Pemberian Kapsul Vitamin A bagi Anak Bayi dan Balita </t>
  </si>
  <si>
    <t>Pemberian Makanan Tambahan kepada Bayi, Balita dan Ibu Hamil</t>
  </si>
  <si>
    <t>Penanggulangan TBC, Malaria, Vilaria, Framboisa, Kusta, Taeniasis dan Penyakit Tidak Menular</t>
  </si>
  <si>
    <t>Program Peningkatan Pelayanan Kesehatan Anak Balita</t>
  </si>
  <si>
    <t>Immunisasi pada Balita OAP tepat waktu</t>
  </si>
  <si>
    <t xml:space="preserve">Program Peningkatan Keselamatan Ibu Melahirkan dan Anak </t>
  </si>
  <si>
    <t>Peningkatan dan Pemeliharaan Kesehatan Ibu dan Bayi Baru Lahir OAP</t>
  </si>
  <si>
    <t>Peningkatan Kesehatan di Rumah Sakit</t>
  </si>
  <si>
    <t>Dinas Pekerjaan Umum</t>
  </si>
  <si>
    <t>Program Pembangunan Infrastruktur</t>
  </si>
  <si>
    <t>Pembangunan Peningkatan dan Pemeliharaan Jalan dan Jembatan di Lingkungan Kampung OAP</t>
  </si>
  <si>
    <t>Penyusunan URD/ RD Dana OTSUS</t>
  </si>
  <si>
    <t>Monitoring Evaluasi dan Pelaporan</t>
  </si>
  <si>
    <t>Penyusunan Database Tenaga Kerja Daerah OAP</t>
  </si>
  <si>
    <t>Pengadaan Tenaga Kerja Siap Kerja 0AP</t>
  </si>
  <si>
    <t>Dinas Pemberdayaan Perempuan dan KB</t>
  </si>
  <si>
    <t>Prog. Keserasian Kebijakan Peningkatan Kualitas Anak &amp; Perempuan</t>
  </si>
  <si>
    <t>Belanja Bantuan Sosial Organisasi Kemasyarakatan</t>
  </si>
  <si>
    <t>Dinas Pertanian dan Tanaman Pangan</t>
  </si>
  <si>
    <t xml:space="preserve">Pelatiahan Petani dan Pelaku Agribisnis </t>
  </si>
  <si>
    <t>Program Peningkatan Ketahanan Pangan (Pertanian/ Perkebunan)</t>
  </si>
  <si>
    <t>Penyuluhan Sumber Pangan Spesifik Lokal</t>
  </si>
  <si>
    <t>Program Peningkatan Pemasaran Hasil Produksi Pertanian</t>
  </si>
  <si>
    <t>Pembangunan Pusat-Pusat Penampungan Produksi Hasil Pertanian/ Perkebunan Masyarakat yang akan Dipasarkan</t>
  </si>
  <si>
    <t>Program Peningkatan Penerapan Teknologi Pertanian/ Perkebunan</t>
  </si>
  <si>
    <t>Pelatiahan dan Bimbingan Pengoperasian Teknologi Pertanian/ Perkebunan Tepat Guna</t>
  </si>
  <si>
    <t>Program Peningkatan Produksi Pertanian/ Perkebunan</t>
  </si>
  <si>
    <t>Pengadaan Sarana Produksi Pertanian/ Perkebunan</t>
  </si>
  <si>
    <t>Pengembangan Bibit Unggul Pertanian/ Perkebunan</t>
  </si>
  <si>
    <t>Pembanguan Sarana dan Prasarana Pembibitan Ternak</t>
  </si>
  <si>
    <t>Penyediaan Sarana Perkebunan</t>
  </si>
  <si>
    <t>Peningkatan Bibit Unggul Komoditas Perkebunan Spesifik Papua</t>
  </si>
  <si>
    <t>Pelatihan Petani dan Pelaku Agribisnis</t>
  </si>
  <si>
    <t>Peningkatan Sarana dan Prasarana Pertanian</t>
  </si>
  <si>
    <t>Pengembangan Bibit Ikan Unggul</t>
  </si>
  <si>
    <t>Pendampingan pada Kelompok Tani Pembudidaya Ikan</t>
  </si>
  <si>
    <t>Pembinaan dan Pengembangan Perikanan</t>
  </si>
  <si>
    <t>Penyediaan Peralatan Tangkap bagi Nelayan OAP</t>
  </si>
  <si>
    <t>Prog. Pengembangan Kawasan Budidaya Laut, Air Laut &amp; Air Tawar</t>
  </si>
  <si>
    <t>Pengembangan/ Pembangunan dan Rehabilitasi Sarana Budidaya, Air Tawar/ Payau</t>
  </si>
  <si>
    <t>Program Pengembangan Kewirausahaan dan Keunggulan</t>
  </si>
  <si>
    <t>Kompetitif Usaha Kecil dan Menengah</t>
  </si>
  <si>
    <t>Fasilitasi Dukungan Permodalan dan Penjaminan Usahan</t>
  </si>
  <si>
    <t>Pengembangan UMKM SDM Lokal</t>
  </si>
  <si>
    <t>Pembinaan Koperasi Peran Serta Masyarakat Adat Asli Papua (KOPERNAS)</t>
  </si>
  <si>
    <t>Peningkatan Kualitas Pelayanan dan Pemenuhan Standar/ Ketentuan Pengelolaan Koperasi</t>
  </si>
  <si>
    <t>Akses ke Jasa Pendampingan</t>
  </si>
  <si>
    <t>24</t>
  </si>
  <si>
    <t>KABUPATEN YALIMO</t>
  </si>
  <si>
    <t>Penyelenggaraan Lembaga Pendidikan Anak Usia Dini</t>
  </si>
  <si>
    <t>Bantuan Operasional Penyelenggaraan PAUD</t>
  </si>
  <si>
    <t>Pengadaan Buku buku dan Alat Tulis Siswa</t>
  </si>
  <si>
    <t>Pengadaan Pakaian Seragam Sekolah</t>
  </si>
  <si>
    <t>Pengadaan Meubelair Sekolah</t>
  </si>
  <si>
    <t>Penyediaan Beasiswa Transisi</t>
  </si>
  <si>
    <t>Kegiatan Afirmasi Pendidikan</t>
  </si>
  <si>
    <t>Penyelenggaraan Paket A, B, Dan C (Semester I)</t>
  </si>
  <si>
    <t>Pelatihan Bagi Pendidik Untuk Memenuhi Standar Kompetensi</t>
  </si>
  <si>
    <t>Penetapan Angka Kredit Guru</t>
  </si>
  <si>
    <t>Kelas Khusus S1 PGSD</t>
  </si>
  <si>
    <t>Penerapan Sistem Dan Informasi Manajemen Pendidikan</t>
  </si>
  <si>
    <t>Program Non Fisik Pendidikan</t>
  </si>
  <si>
    <t>Penyelenggaraan UN/UASBN/UAS</t>
  </si>
  <si>
    <t>Penyediaan Pendidikan Gratis</t>
  </si>
  <si>
    <t>Penyediaan Beasiswa Bidang / Keahlian Khusus</t>
  </si>
  <si>
    <t>Penyediaan Biaya Penunjang Bagi Pelajar / Mahasiswa</t>
  </si>
  <si>
    <t>Triout Nasional Dan Penyusunan Soal Ujian Sekolah</t>
  </si>
  <si>
    <t>Bantuan Oprasional Mahasiswa</t>
  </si>
  <si>
    <t>Repaking Dan Distribusi Obat</t>
  </si>
  <si>
    <t>Pengadaan Bahan Kimia</t>
  </si>
  <si>
    <t>Pelayanan Kesehatan Penduduk Miskin Di Puskesmas Dan Jaringannya</t>
  </si>
  <si>
    <t>Pelayanan Kefarmasian Dan Perbekalan Kesehatan</t>
  </si>
  <si>
    <t>Peningkatan Pelayanan Dan Penaggulangan Masalah Kesehatan</t>
  </si>
  <si>
    <t>Pendistribusian Alat - Alat Kesehatan</t>
  </si>
  <si>
    <t>Pengembangan Media Promosi Dan Informasi Sadar Hidup Sehat</t>
  </si>
  <si>
    <t>Penyuluhan Masyarakat Pola Hidup Sehat</t>
  </si>
  <si>
    <t>Pemberian Makanan Tambahan dan Vitamin</t>
  </si>
  <si>
    <t>Pengadaan Bahan Logistik Gizi Puskesmas Perawatan</t>
  </si>
  <si>
    <t>Program pencegahan dan penanggulangan penyakit Menular</t>
  </si>
  <si>
    <t>Penanggulangan Sanitasi Lingkungan</t>
  </si>
  <si>
    <t>Penanggulangan Penyakit Malaria</t>
  </si>
  <si>
    <t>Penanggulangan Penyakit TBC</t>
  </si>
  <si>
    <t>Pelatihan Tenaga Penanggulangan Penyakit IMS Dan HIV/AIDS</t>
  </si>
  <si>
    <t>Penyelenggaraan Peringatan Hari HIV/AIDS Sedunia Tingkat Kabupaten</t>
  </si>
  <si>
    <t>Program kemitraan peningkatan pelayanan kesehatan</t>
  </si>
  <si>
    <t>Kemitraan Peningkatan Kualitas Dokter Dan Kesehatan</t>
  </si>
  <si>
    <t>Operasional Puskesmas, Pustu Dan Pondok Bersalin</t>
  </si>
  <si>
    <t>Peyediaan Tenaga Kader Kesehatan</t>
  </si>
  <si>
    <t>Penyediaan Tenaga Kesehatan</t>
  </si>
  <si>
    <t>Pelatihan Tenaga Kader Kesehatan</t>
  </si>
  <si>
    <t>Pelatihan Tenaga Kesehatan</t>
  </si>
  <si>
    <t>Pelayanan Dan Peningkatan Kesehatan Ibu Dan Anak</t>
  </si>
  <si>
    <t>Program manajemen pelayanan pendidikan Bidang Kesehatan</t>
  </si>
  <si>
    <t>Penyediaan Pendidikan Bidang Kesehatan</t>
  </si>
  <si>
    <t>Dinas Pertanian dan Pangan</t>
  </si>
  <si>
    <t>Sarasehan Daerah Ktna</t>
  </si>
  <si>
    <t>Pelatihan Teknis Budidaya Kopi</t>
  </si>
  <si>
    <t>Pengembangan Intensifikasi Tanaman Padi, Palawija</t>
  </si>
  <si>
    <t>Pengembangan Tanaman Pangan</t>
  </si>
  <si>
    <t>Pengembangan Tanaman Hortikultura</t>
  </si>
  <si>
    <t>Pengadaan Sarana Dan Prasarana Teknologi Pertanian/perkebunan Tepat Guna</t>
  </si>
  <si>
    <t>Penyediaan Sarana Produksi Pertanian/perkebunan</t>
  </si>
  <si>
    <t>Pengembangan Bibit Unggul Pertanian /perkebunan</t>
  </si>
  <si>
    <t>Peningkatan Kapasitas Tenaga Penyuluh Pertanian/perkebunan</t>
  </si>
  <si>
    <t>Pemeliharaan Kesehatan Dan Pencegahan Penyakit Menular Ternak</t>
  </si>
  <si>
    <t>Fasilitasi Tenaga Kader Kesehatan Hewan</t>
  </si>
  <si>
    <t>Pembuatan Kandang Ternak Di Kelompok Peternak</t>
  </si>
  <si>
    <t>Pelatihan Budidaya Ternak</t>
  </si>
  <si>
    <t>Pengadaan Bibit Ternak</t>
  </si>
  <si>
    <t>Pengadaan Pakan Ternak</t>
  </si>
  <si>
    <t>Pelatihan Teknis Budidaya Ikan Air Tawar</t>
  </si>
  <si>
    <t>DINAS PERDAGANGAN DAN PERINDUSTRIAN</t>
  </si>
  <si>
    <t>Penyediaan Ganti Rugi Lokasi Perdagangan</t>
  </si>
  <si>
    <t>Pembangunan Pasar</t>
  </si>
  <si>
    <t>Program Infrastruktur Energi Listrik</t>
  </si>
  <si>
    <t>Pembangunan Bak Penenang,pipa Penstok PLTMH Kali Bion dan Pengadaan Mesin Turbin</t>
  </si>
  <si>
    <t>DINAS KOPERASI, USAHA KECIL DAN MENENGAH</t>
  </si>
  <si>
    <t>Pengadaan Fasilitas Sarana Usaha Kecil Dan Menengah</t>
  </si>
  <si>
    <t>Pelatihan Keterampilan Teknis Masyarakat Untuk Usaha Kecil Menengah</t>
  </si>
  <si>
    <t>Memfasilitasi Peningkatan Kemitraan Usaha Bagi Usaha Mikro Kecil Menengah</t>
  </si>
  <si>
    <t>Pelatihan Manajemen Pengelolaan Koperasi / KUD</t>
  </si>
  <si>
    <t>Monitoring, Evaluasi Dan Pelaporan</t>
  </si>
  <si>
    <t>Peningkatan Kapasitas Kelembagaan Koperasi</t>
  </si>
  <si>
    <t>DINAS LINGKUNGAN HIDUP</t>
  </si>
  <si>
    <t>Program Pengembangan Kinerja Pengelolaan Persampahan</t>
  </si>
  <si>
    <t>Peningkatan Peran Serta Masyarakat Dalam Pengelolaan Persampahan</t>
  </si>
  <si>
    <t>Program Perlindungan dan Konservasi Sumber Daya Alam</t>
  </si>
  <si>
    <t>Peningkatan Konservasi Daerah Tangkapan Air Dan Sumber-sumber Air</t>
  </si>
  <si>
    <t>Peningkatan Peran Serta Masyarakat Dalam Perlindungan Dan Konservasi SDA</t>
  </si>
  <si>
    <t>INFRASTRUKTUR</t>
  </si>
  <si>
    <t>Program lingkungan sehat perumahan</t>
  </si>
  <si>
    <t>Penyediaan Sarana Air Bersih Dan Jaringannya</t>
  </si>
  <si>
    <t>DINAS PERUMAHAN DAN PERMUKIMAN</t>
  </si>
  <si>
    <t>Pembangunan Sarana Dan Prasarana Rumah Sederhana Sehat</t>
  </si>
  <si>
    <t>Relokasi Perumahan Penduduk</t>
  </si>
  <si>
    <t>Pembangunan Lapangan Terbang</t>
  </si>
  <si>
    <t>Pengadaan Alat Studio Dan Komunikasi</t>
  </si>
  <si>
    <t>PEJABAT PENGELOLAAN KEUANGAN DAERAH</t>
  </si>
  <si>
    <t>Program Pelayanan Gaji, Pendapatan dan Pembiayaan</t>
  </si>
  <si>
    <t>Belanja Tidak Langsung/ Gaji Dan Tunjangan</t>
  </si>
  <si>
    <t>DINAS PEMBERDAYAAN MASYARAKAT DAN KAMPUNG</t>
  </si>
  <si>
    <t>Penyelenggaraan Sosialisasi Pelaku Ketahanan Masyarakat Kampung</t>
  </si>
  <si>
    <t>Program peningkatan kapasitas aparatur pemerintah desa</t>
  </si>
  <si>
    <t>Pelatihan Aparatur Pemerintah Desa Dalam Bidang Pembangunan Kawasan Perdesaan</t>
  </si>
  <si>
    <t>DINAS PEMBERDAYAAN PEREMPUAN, PERLINDUNGAN</t>
  </si>
  <si>
    <t>Kegiatan Pembinaan Organisasi Perempuan</t>
  </si>
  <si>
    <t>Penyuluhan Kesehatan Ibu, Bayi Dan Anak Melalaui Kegiatan Di Masyarakat</t>
  </si>
  <si>
    <t>MONEV</t>
  </si>
  <si>
    <t>BADAN PERENCANAAN PEMBANGUNAN, PENELITIAN DAN PENGEMBANGAN DAERAH</t>
  </si>
  <si>
    <t>Monitoring Dana Onotomi Khusus</t>
  </si>
  <si>
    <t>Perencanaan Pembangunan Daerah Yang Bersumber Dari Dana Otsus</t>
  </si>
  <si>
    <t>INPEKTORAT DAERAH</t>
  </si>
  <si>
    <t>Pengawasan Pembangunan Daerah Bidang Otonomi Khusus</t>
  </si>
  <si>
    <t>Pendataan Penduduk Asli Papua</t>
  </si>
  <si>
    <t>DINAS PEMUDA OLAH RAGA DAN PARIWISATA</t>
  </si>
  <si>
    <t>Program Pembinaan dan Pemasyarakatan Olah Raga</t>
  </si>
  <si>
    <t>Pembinaan Olahraga Yang Berkembang Di Masyarakat</t>
  </si>
  <si>
    <t>25</t>
  </si>
  <si>
    <t>KABUPATEN PUNCAK</t>
  </si>
  <si>
    <t>Dinas Pendidikan Pemuda dan Olahraga</t>
  </si>
  <si>
    <t>Program PAUD/TK</t>
  </si>
  <si>
    <t>Program Pendidikan Wajib Belajar 9 Tahun</t>
  </si>
  <si>
    <t>Pengadaan Pakaian Seragam Pramuka SMP</t>
  </si>
  <si>
    <t>Pengadaan Meubeleur Sekolah</t>
  </si>
  <si>
    <t>Pemeliharaan Rutin/berkala Rumah Dinas Kepala Sekolah, Guru, Penjaga Sekolah</t>
  </si>
  <si>
    <t>Penambahan Ruang Kelas Sekolah (otsus)</t>
  </si>
  <si>
    <t>Pengadaan Ujian Nasional</t>
  </si>
  <si>
    <t>Program pendidikan Dasar dan Menengah</t>
  </si>
  <si>
    <t>Pengadaan Buku Penunjang Pembelajaran Dan Pengayaan Siswa</t>
  </si>
  <si>
    <t>Program Pendidikan Penyetaraan</t>
  </si>
  <si>
    <t>Dukungan Beasiswa S1 Untuk Siswa/i Sma Oap Berprestasi Secara Terbatas Untuk Jurusan Yang Sangat Dibutuhkan Dalam Pembangunan</t>
  </si>
  <si>
    <t>Badan Pengelola Keuangan dan Aset Daerah</t>
  </si>
  <si>
    <t>Belanja Tidak Langsung (Pendidikan)</t>
  </si>
  <si>
    <t>Bantuan Beasiswa Pertahun</t>
  </si>
  <si>
    <t xml:space="preserve">Belanja Bantuan Pemondokan Mahasiswa (i) Asal kabupaten Puncak </t>
  </si>
  <si>
    <t>Bantuan Operasional dan KMPP</t>
  </si>
  <si>
    <t>Bantan Pendidikan Luar Negeri</t>
  </si>
  <si>
    <t>Kegiatan Afirmasi Pendidikan ADEM</t>
  </si>
  <si>
    <t>Kegiatan Afirmasi Pendidikan ADIK</t>
  </si>
  <si>
    <t>Bantuan Operasional PKBM</t>
  </si>
  <si>
    <t>Lembaga Adat</t>
  </si>
  <si>
    <t>Pengadaan vaksin penyakit menular</t>
  </si>
  <si>
    <t>Pelayanan pencegahan dan penanggulangan penyakit menular
 (OTSUS)</t>
  </si>
  <si>
    <t>Pencegahan Dan Pemberantasan Ims Dan Hiv/aids</t>
  </si>
  <si>
    <t>Peningkatan Pelayanan Kesehatan Bagi Pengungsi Korban Bencana</t>
  </si>
  <si>
    <t>Peningkatan Pelayanan Di Rumah Sakit</t>
  </si>
  <si>
    <t>Bantuan Operasional Kesehatan, Upaya Kesehatan Rujukan Dan Pelayanan</t>
  </si>
  <si>
    <t>Pendidikan Dan Pelatihan Tenaga Kesehatan</t>
  </si>
  <si>
    <t>Pelatihan Dan Study Banding</t>
  </si>
  <si>
    <t>Pengadaaan obat dan perbekalan kesehatan</t>
  </si>
  <si>
    <t>Dinas Pertanian dan Perkebunan</t>
  </si>
  <si>
    <t>Pengembangan Bibit Unggul Komoditas Perkebunan Spesifik Papua</t>
  </si>
  <si>
    <t>Pembibitan dan Perawatan ternak spesifik Papua</t>
  </si>
  <si>
    <t>Pembangunan Sarana Dan Prasarana Pembibitan Ternak</t>
  </si>
  <si>
    <t>Program Ketahanan Pangan</t>
  </si>
  <si>
    <t xml:space="preserve"> Program Sarana dan Prasarana Pertanian</t>
  </si>
  <si>
    <t>Peningkatan Saran Dan Prasarana Pertanian</t>
  </si>
  <si>
    <t>Dinas Penanaman Modal, Perijinan Terpadu dan Koperasi, Usaha Mikro Kecil dan Menengah</t>
  </si>
  <si>
    <t>Penciptaan Wirausaha Baru Khususnya Wirausaha Asli Papua</t>
  </si>
  <si>
    <t>Fasilitasi Dukungan Pemodalan Dan Penjaminan Usaha</t>
  </si>
  <si>
    <t>Pembinaan Koperasi Peranserta Masyarakat Adat Asli Papua (KOPERMAS)</t>
  </si>
  <si>
    <t>Peningkatan Kualitas Pelayanan Dan Pemenuhan Standar/ketentuan Pengelolaan Koperasi</t>
  </si>
  <si>
    <t>Dinas Pemberdayaan Perempuan dan Anak</t>
  </si>
  <si>
    <t>Program Promosi Kesehatan Ibu, Bayi dan Anak</t>
  </si>
  <si>
    <t>Pemberian Makanan Tambahan Kepada Bayi, Balita, Dan Ibu Hamil</t>
  </si>
  <si>
    <t>Belanja Tidak Langsung (Keagamaan/Afirmasi)</t>
  </si>
  <si>
    <t>Bantuan Honor Keagamaan/Hamba Tuhan</t>
  </si>
  <si>
    <t>Belanja Bantuan Honor Ketua Klasis dan Daerah</t>
  </si>
  <si>
    <t>Belanja Bantuan Operasional Keagamaan/Klasis dan Daerah</t>
  </si>
  <si>
    <t>Belanja Bantuan Operasional Sinode KINGMI Papua</t>
  </si>
  <si>
    <t>Belanja Bantuan Operasional Wilayah GKII di Peg. Tengah</t>
  </si>
  <si>
    <t xml:space="preserve">Dinas Pekerjaan Umum </t>
  </si>
  <si>
    <t>Pembangunan/Peningkatan dan Pemeliharaan Jalan dan Jembatan di Lingkungan Kampung OAP</t>
  </si>
  <si>
    <t>Program Pembangunan Perumahan</t>
  </si>
  <si>
    <t>Pembangunan Rumah Layak Huni</t>
  </si>
  <si>
    <t>Program Pengembangan dan Pengelolaan Jaringan Irigasi, Rawa dan Jaringan Pengairan Lainnya</t>
  </si>
  <si>
    <t>Program Perencanaan Pemabangunan Daerah</t>
  </si>
  <si>
    <t>Monitoring Evaluasi, Pengendalian dan Pelaporan Pelaksanaan Rencana Pembangunan Daerah</t>
  </si>
  <si>
    <t xml:space="preserve"> Program Penataan Administrasi Kependudukan</t>
  </si>
  <si>
    <t>Pendataan Orang Asli Papua Di Kabupaten Puncak</t>
  </si>
  <si>
    <t>DINAS TENAGA KERJA, PERINDUSTRIAN DAN PERDAGANGAN</t>
  </si>
  <si>
    <t>Pemberian Bantuan Fasilitasi Dan Permodalan</t>
  </si>
  <si>
    <t>Program Pengembangan Kewirausahaan dan Keunggulan Kempetitif UKM</t>
  </si>
  <si>
    <t>Penguatan Fungsi dan Peran Lembaga Adat</t>
  </si>
  <si>
    <t>Pengembangan Sarana Dan Prasarana Pertanian Tanaman Pangan Dan Holtikultura</t>
  </si>
  <si>
    <t>Program Pengembangan Produk Pangan Lokal</t>
  </si>
  <si>
    <t>Pemanfaatan Pekarangan Oleh Kelompok Wanita Tani Oap</t>
  </si>
  <si>
    <t>Pengembangan Lumbung/cadangan Pangan Masyarakat Spesifik Lokal</t>
  </si>
  <si>
    <t>Pengembangan Komoditas Unggulan Tanaman Pangan Spesifik Papua</t>
  </si>
  <si>
    <t>26</t>
  </si>
  <si>
    <t>KABUPATEN DOGIYAI</t>
  </si>
  <si>
    <t>Penyediaan Tunjangan Khusus Guru di Daerah Terpencil dan Terisolir</t>
  </si>
  <si>
    <t>Pengadaan makanan tambahan siswa berbahan lokal sesuai usia tumbuh kembang anak</t>
  </si>
  <si>
    <t>Pembangunan ruang kelas baru</t>
  </si>
  <si>
    <t>Pengadaan guru kontrak</t>
  </si>
  <si>
    <t>Pembangunan asrama siswa/I SD-SMP satu atap berasrama</t>
  </si>
  <si>
    <t>Pembangunan rumah dinas guru dan kepala sekolah serta perlengkapannya</t>
  </si>
  <si>
    <t>Pelatihan kompetensi khusus bagi tenaga pendidik dan kependidikan termasuk life skill pencegahan HIV dan AIDS jenjang SD (Kurikulum SD)</t>
  </si>
  <si>
    <t>Pelatihan Kompetensi khusus bagi tenaga pendidik dan kependidikan termasuk lie skill pencegahan HIV dan AIDS jenjang SD (KKG SD)</t>
  </si>
  <si>
    <t>Pembangunan tempat ibadah, perpustakaan, UKS, Kamar mandi, jamban dan jaringan air bersih dengan pipa atau bak penampungan air hujan disesuaikan kondisi lingkungan</t>
  </si>
  <si>
    <t>Pengadaan barang habis pakai untuk penyediaan pendukung pembelajaran dan praktik siswa</t>
  </si>
  <si>
    <t>Penyediaan Biaya operasional kegiatan ekstrakulikuler</t>
  </si>
  <si>
    <t>penyediaan tunjangan khusus guru di daerah terpencil dan terisolir</t>
  </si>
  <si>
    <t>Pelatihan kompetensi khusus bagi tenaga pendidik dan kependidikan termasuk lie skill pencegahan HIV dan AIDS jenjang SMP (Diklat Olimpiade)</t>
  </si>
  <si>
    <t>Pelatihan kompetensi khusus bagi tenaga pendidik dan kependidikan termasuk lie skill pencegahan HIV dan AIDS jenjang SMP (MGMP SMP)</t>
  </si>
  <si>
    <t>Penyediaan makan minum siswa/siswi SMP Berasrama berbasis komoditas lokal</t>
  </si>
  <si>
    <t>Pengadaan beasiswa melanjutkan (transisi) untuk siswa asli papua</t>
  </si>
  <si>
    <t>Penyelenggaraan pendidikan non formal, keaksaraan dasar (KF dan Pelatihan ketrampilan kerja) (PKBM)</t>
  </si>
  <si>
    <t>Penyelenggaraan pendidikan non formal, keaksaraan dasar (KF dan Pelatihan ketrampilan kerja) (NF)</t>
  </si>
  <si>
    <t>Penyelenggaraan pendidikan non formal, keaksaraan dasar (KF dan Pelatihan ketrampilan kerja) (Kursus)</t>
  </si>
  <si>
    <t>Penyelenggaraan pendidikan non formal, keaksaraan dasar (KF dan Pelatihan ketrampilan kerja) (Insentif aksara)</t>
  </si>
  <si>
    <t>Penyelenggaraan pendidikan non formal, keaksaraan dasar (KF dan Pelatihan ketrampilan kerja) (Insentif paket A B C)</t>
  </si>
  <si>
    <t>Penyelenggaraan pendidikan non formal, keaksaraan dasar (KF dan Pelatihan ketrampilan kerja) (diklat keaksaraan)</t>
  </si>
  <si>
    <t>Penyelenggaraan pendidikan non formal, keaksaraan dasar (KF dan Pelatihan ketrampilan kerja) (diklat paket A B C)</t>
  </si>
  <si>
    <t>Penyediaan biaya operasional bagi lembaga penyelenggara pendidikan bagi kelompok adat terpencil</t>
  </si>
  <si>
    <t>Pelatihan Kompetensi khusus bagi tenaga pendidik dan kependidikan (MGMP SMK)</t>
  </si>
  <si>
    <t>Pelatihan Kompetensi khusus bagi tenaga pendidik dan kependidikan (MGMP SMA)</t>
  </si>
  <si>
    <t>Penyediaan dukungan bidang pendidikan untuk pengembangan potensi wilayah sesuai peta komoditas unggulan daerah</t>
  </si>
  <si>
    <t>Kegiatan pendidikan lain yang memenuhi kriteria mendesak dan relevan untuk kepentingan daerah</t>
  </si>
  <si>
    <t>Pelayanan kaki telanjang daerah terpencil</t>
  </si>
  <si>
    <t>Pengembangan media promosi dan inormasi sadar hidup sehat</t>
  </si>
  <si>
    <t>Penyuluhan langsung kepada masyarakat</t>
  </si>
  <si>
    <t>Pemberian makanan tambahan kepada Ibu Hamil</t>
  </si>
  <si>
    <t>Pemberian makanan tambahan kepada bayi/balita</t>
  </si>
  <si>
    <t>Pengembangan lingkungan sehat</t>
  </si>
  <si>
    <t>Penanggulangan HIV-AIDS dan IMS (peralatan)</t>
  </si>
  <si>
    <t>Penanggulangan HIV-AIDS dan IMS (jumlah kasus yang ditangani)</t>
  </si>
  <si>
    <t>Penanggulangan HIV-AIDS dan IMS (tenaga terampil)</t>
  </si>
  <si>
    <t>Penanggulangan TBC, Malaria, Filaria, Frambusia, Kusta, Tersiesis, penyakit tidak menular (Diare)</t>
  </si>
  <si>
    <t>Penanggulangan TBC, Malaria, Filaria, Frambusia, Kusta, Tersiesis, penyakit tidak menular (Malaria)</t>
  </si>
  <si>
    <t>Penanggulangan TBC, Malaria, Filaria, Frambusia, Kusta, Tersiesis, penyakit tidak menular (PPTM)</t>
  </si>
  <si>
    <t>Pengadaan sarana dan prasarana puskesmas</t>
  </si>
  <si>
    <t>Peningkatan peran posyandu</t>
  </si>
  <si>
    <t>Pengembangan posyandu lansia (Pelatihan kader)</t>
  </si>
  <si>
    <t>Pengembangan posyandu lansia (lansia)</t>
  </si>
  <si>
    <t>Penanggulangan masalah kesehatan masyarakat asli papua</t>
  </si>
  <si>
    <t>Penyediaan peralatan laboratorium untuk fasilitas pelayanan kesehatan</t>
  </si>
  <si>
    <t>Peningkatan pelayanan di Rumah Sakit (POM)</t>
  </si>
  <si>
    <t>Peningkatan pelayanan di Rumah Sakit (Imunisasi)</t>
  </si>
  <si>
    <t>Peningkatan kualitas tenaga kesehatan puskesmas dan jaringannya</t>
  </si>
  <si>
    <t>Insentif tenaga medis dan paramedis</t>
  </si>
  <si>
    <t>Pelatihan tenaga kamar operasi</t>
  </si>
  <si>
    <t>Program pengadaan, peningkatan sarana dan prasarana rumah sakit/ rumah sakit jiwa/  rumah sakit paru-paru/  rumah sakit mata</t>
  </si>
  <si>
    <t>Penyediaan Makanan dan Minuman Pasien</t>
  </si>
  <si>
    <t>Penyediaan obat-obatan</t>
  </si>
  <si>
    <t>Pengadaan bahan habis pakai</t>
  </si>
  <si>
    <t>Kemitraan pengobatan lanjutan bagi pasien rujukan</t>
  </si>
  <si>
    <t>DINAS PEKERJAAN UMUM dan PENATAAN RUANG</t>
  </si>
  <si>
    <t>Pembangunan jalan kampung Boduda</t>
  </si>
  <si>
    <t>Pembangunan jalan Obayo-Nuwa Tahap II</t>
  </si>
  <si>
    <t>Program Penataan Lingkungan Permukiman Penduduk Kampung Orang Asli Papua</t>
  </si>
  <si>
    <t>Pembangunan saluran tanah kampung Kuyakago</t>
  </si>
  <si>
    <t>Pembangunan saluran tanah kampung Idakebo</t>
  </si>
  <si>
    <t>Pembangunan saluran tanah kampung Pouwouda</t>
  </si>
  <si>
    <t>Pembangunan saluran tanah kampung Ikebo</t>
  </si>
  <si>
    <t>Pengembangan Perumahan Rakyat dan Penyediaan Air Bersih</t>
  </si>
  <si>
    <t>Pembangunan Rumah Layak huni bagi Masyarakat Asli Papua</t>
  </si>
  <si>
    <t>Pemberdayaan Fakir Miskin, Komunitas Adat Terpencil (KAT) dan PMKS Lainnya</t>
  </si>
  <si>
    <t>Pelatihan keterampilan berusaha bagi keluarga Miskin OAP</t>
  </si>
  <si>
    <t>Pendidikan dan Pelatihan ketrampilan bagi pencari kerja OAP</t>
  </si>
  <si>
    <t>Pembinaan keluarga Berencana</t>
  </si>
  <si>
    <t>Penyuluhan bagi ibu-ibu rumah tangga dalam membangun keluarga sejahtera</t>
  </si>
  <si>
    <t>Pelaksanaan Sosialisasi yang Terkait dengan Kesetaraan gender pemberdayaan perempuan dan perlindungan anak OAP</t>
  </si>
  <si>
    <t>Penganekaragaman Pangan Spesifik Pangan Lokal</t>
  </si>
  <si>
    <t>Peningkatan penerapan teknologi pertanian/perkebunan</t>
  </si>
  <si>
    <t>Peningkatan produksi &amp; Produktivitas tanaman pangan &amp; Holtikultural</t>
  </si>
  <si>
    <t>Program Peningkatan Kualitas Lingkungan Hidup</t>
  </si>
  <si>
    <t>Penghijauan Lingkungan Sepanjang Jalan Utama dan Lahan Pekarangan Fasilitas Umum Dalam Ibu Kota Kabupaten dengan Tanaman Bibit Pohon Pucuk Merah dan Cemara Kipas</t>
  </si>
  <si>
    <t>Pemeliharaan Tahun pertama bibit pohon penghijauan lingkungan</t>
  </si>
  <si>
    <t>Program Pemulihan Kondisi Sungai (Restorasi)</t>
  </si>
  <si>
    <t>Penanaman bagian kanan kiri tepi sungai/kali Tuka dan Mapia</t>
  </si>
  <si>
    <t>Pengadaan Balnko F1-01 OAP</t>
  </si>
  <si>
    <t>Pelatihan ketrampilan usaha industri rumah tangga</t>
  </si>
  <si>
    <t>Program peningkatan peran perempuan di perdesaan</t>
  </si>
  <si>
    <t>Pelatihan perempuan di pedesaan dalam bidang usaha ekonomi produktif</t>
  </si>
  <si>
    <t>Program Peningkatan Sarana dan Prasarana Aparatur</t>
  </si>
  <si>
    <t>Pengadaan kendaraan dinas/operasional sekolah</t>
  </si>
  <si>
    <t>Pembangunan peningkatan bandara perintis kampung Unito/Distrik Sukikai Selatan</t>
  </si>
  <si>
    <t>Pembangunan peningkatan bandara perintis kampung Gabaikunu/Timepa</t>
  </si>
  <si>
    <t>Pembangunan halte bus taxi gedung terminal</t>
  </si>
  <si>
    <t>Pembangunan peningkatan fasilitas terminal</t>
  </si>
  <si>
    <t>DINAS KOPERASI DAN USAHA KECIL DAN MENENGAH</t>
  </si>
  <si>
    <t>Peningkatan Kualitas Pelayanan dan Pemenuhan Standar/ketentuan pengelolaan koperasi</t>
  </si>
  <si>
    <t>Peningkatan kualitas manajemen usaha kecil dan menengah</t>
  </si>
  <si>
    <t>Peningkatan kualitas sumber daya manusia pelaku usaha Mini Mikro dan kecil</t>
  </si>
  <si>
    <t>DINAS PETERNAKAN DAN PERIKANAN</t>
  </si>
  <si>
    <t>Pembinaan dan Pengembangan perikanan</t>
  </si>
  <si>
    <t>Pembagunan sarana dan prasarana pembibitan ternak</t>
  </si>
  <si>
    <t>Pembelian dan pendsitribusian vaksin dan pakan ternak</t>
  </si>
  <si>
    <t>Pengembangan agribisnis peternakan</t>
  </si>
  <si>
    <t>DINAS KEBUDAYAAN DAN PARAWISATA</t>
  </si>
  <si>
    <t>Afermasi Masyarakat Adat Asli</t>
  </si>
  <si>
    <t>Mengadakan kegiatan LMA dalam temu karya</t>
  </si>
  <si>
    <t>Pembinaan Group band lokal Makamo</t>
  </si>
  <si>
    <t>DINAS PERTANIAN DAN TANAMAN PANGAN</t>
  </si>
  <si>
    <t>Pelatihan Tata cara penggunaan pupuk tanaman pangan (pupuk organik padat)</t>
  </si>
  <si>
    <t>Pelatihan Tata cara penggunaan pupuk tanaman pangan</t>
  </si>
  <si>
    <t>Pelatihan dan Tata cara pembuatan pupuk tanaman perkebunan</t>
  </si>
  <si>
    <t>Pelatihan Tata cara Penggunaan pupuk tanaman perkebunan</t>
  </si>
  <si>
    <t>Pelatihan petani dan pelaku aAgribisnis tanaman pangan</t>
  </si>
  <si>
    <t>Pelatihan petani dan pelaku Agribisnis tanaman Hortikultura</t>
  </si>
  <si>
    <t>Peningkatan sarana dan prasarana pertanian</t>
  </si>
  <si>
    <t>Pengembangan komoditas unggulan Hortikultura Spesifik (perluasan Areal tanaman buah merah)</t>
  </si>
  <si>
    <t>Peningkatan produksi produktivitas dan mutu produk perkebunan, produk pertanian (perluasan areal tanaman jagung)</t>
  </si>
  <si>
    <t>Pengadaan benih tanaman pangan dan hortikultura</t>
  </si>
  <si>
    <t>Pengembangan perbinihan/pembibitan tanaman perkebunan</t>
  </si>
  <si>
    <t>Perluasan areal dan intensifikasi/lehabilitas lahan perkebunan</t>
  </si>
  <si>
    <t>DINAS PERINDUSTRIAN PERDAGANGAN DAN KOPERASI</t>
  </si>
  <si>
    <t>Fasilitasi Pengembangan sarana promosi hasil produksi</t>
  </si>
  <si>
    <t>Kegiatan pemasaran hasil produksi melalui pasar murah</t>
  </si>
  <si>
    <t>Program Peningkatan kemampuan Teknologi Industri</t>
  </si>
  <si>
    <t>Pembinaan dan pelatihan untuk pengembangan industri noken anggrek</t>
  </si>
  <si>
    <t>Pengembangan jaringan infrastruktur Usaha Kecil Menengah</t>
  </si>
  <si>
    <t>Pembangunan gudang bengkel pemagaran keliling</t>
  </si>
  <si>
    <t>BADAN PERENCANAAN PEMBANGUNAN DAERAH DAN PENELITIAN PENGEMBANGAN</t>
  </si>
  <si>
    <t>Monitoring Pengendalian Pembangunan Daerah</t>
  </si>
  <si>
    <t>27</t>
  </si>
  <si>
    <t>KABUPATEN INTAN JAYA</t>
  </si>
  <si>
    <t>Pengadaan meubelair Sekolah</t>
  </si>
  <si>
    <t>Pengadaan makan minum tambahan siswa berbahan dasar lokal sesuai usia tumbuh kembang anak</t>
  </si>
  <si>
    <t>Pembangunan Sekolah</t>
  </si>
  <si>
    <t>Pengadaan makan minum berbahan dasar lokal siswa SD/SMP</t>
  </si>
  <si>
    <t>Pembangunan ruang kelas</t>
  </si>
  <si>
    <t xml:space="preserve">Pembangunan rumah dinas guru </t>
  </si>
  <si>
    <t>Peningkatan pelayanan pendidikan ekstrakulikuler</t>
  </si>
  <si>
    <t>-</t>
  </si>
  <si>
    <t>Penyediaan honorarium tenaga pendidik dan kependidikan</t>
  </si>
  <si>
    <t>Pembangunan ruang kelas baru KPG nabire</t>
  </si>
  <si>
    <t>Pembangunan asrama mahasiswi KPG</t>
  </si>
  <si>
    <t>Penanggulangan Kurang Energi Protein (KEP) , AGB, GAKY, Vitamin A dan Zat Gisi Mikro</t>
  </si>
  <si>
    <t>Pelayanan Pencegahan  dan Penanggulangan Penyakit Menular</t>
  </si>
  <si>
    <t>Pencegahan penularan penyakit Endemik/Epidemik</t>
  </si>
  <si>
    <t>Pembangunan puskesmas</t>
  </si>
  <si>
    <t>Pembangunan puskesmas pembantu</t>
  </si>
  <si>
    <t>Pengadaan sarpras puskesmas</t>
  </si>
  <si>
    <t>Program Pengadaan, Peningkatan dan Perbaikan Sarana dan Prasarana Rumah Sakit</t>
  </si>
  <si>
    <t>Pengadaan alkes rumah sakit</t>
  </si>
  <si>
    <t>Pengadaan mobil pengankut jenazah/ambulance</t>
  </si>
  <si>
    <t>Pembangunan rumah medis tenaga kesehatan</t>
  </si>
  <si>
    <t>Kemitraan peningkatan kualitas dokter dan paramedis</t>
  </si>
  <si>
    <t>Dinas Pekerjaan Umum &amp; Penataan Ruang</t>
  </si>
  <si>
    <t>Pembangunan Jembatan Gantung</t>
  </si>
  <si>
    <t>Pembangunan prasarana pengambilan dan saluran pembawa</t>
  </si>
  <si>
    <t>Program Pembangunan Infrastruktur Pedesaan</t>
  </si>
  <si>
    <t>Dinas Perumahan &amp; Kawasan Pemukiman</t>
  </si>
  <si>
    <t xml:space="preserve">Pengadaan sarana dan prasarana perumahan </t>
  </si>
  <si>
    <t>Program Pemberdayaan Fakir Miskin, KAT dan PMKS Lainnya</t>
  </si>
  <si>
    <t>Pelatihan ketrampilan berusaha bagi keluarga misikin</t>
  </si>
  <si>
    <t xml:space="preserve">Dinas Pemberdayaan Perempuan dan Perlindungan Anak </t>
  </si>
  <si>
    <t>Sosialisasi dan advokasi kebijakan perlindungan tenaga kerja perempuan</t>
  </si>
  <si>
    <t>Bimbingan manajemen usaha bagi perempuan dalam mengelola usaha</t>
  </si>
  <si>
    <t>Dinas Ketahanan Pangan dan Penyuluhan</t>
  </si>
  <si>
    <t>Bimtek pengelolaan pasca panen hasil pertanian</t>
  </si>
  <si>
    <t xml:space="preserve">Pelatihan peningkatan pengetahuan dan keterampilan pengolahan pangan lokal </t>
  </si>
  <si>
    <t>Program Pengembangan Cadangan Pangan Pangan</t>
  </si>
  <si>
    <t>Lomba Cipta Menu</t>
  </si>
  <si>
    <t>Program Peningkatan Penerapan Teknologi Pertanian/perkebunan</t>
  </si>
  <si>
    <t>Pelatihan dan bimbingan pengoperasian teknologi pertanian/perkebunan tepat guna</t>
  </si>
  <si>
    <t>Pelatihan dan penyuluhan tentang keluarga berencana</t>
  </si>
  <si>
    <t xml:space="preserve">Rehabilitasi sedang/berat Pembangunan Lapangan Terbang Perintis </t>
  </si>
  <si>
    <t>Dinas  Perdagangan Koperasi dan UKM</t>
  </si>
  <si>
    <t>Program Perlindungan Konsumen dan Pengamanan Perdagangan</t>
  </si>
  <si>
    <t>Peningkatan Kesejahtraan Masyarakat Kurang Mampu</t>
  </si>
  <si>
    <t>Pelatihan menejemen pengelolaan koperasi/KUD</t>
  </si>
  <si>
    <t>Penguatan kelembagaan koperasi</t>
  </si>
  <si>
    <t>Bimtek Manajemen Usaha Kecil (MUK)</t>
  </si>
  <si>
    <t xml:space="preserve">Kegiatan fasilitasi modal usaha bagi pedagang kaki lima dan asongan </t>
  </si>
  <si>
    <t>Pemberian bantuan peralatan dan bahan kepada masyarakat</t>
  </si>
  <si>
    <t xml:space="preserve">Dinas Perikanan dan Peternakan </t>
  </si>
  <si>
    <t xml:space="preserve">Program Peningkatan Produksi Hasil Peternakan </t>
  </si>
  <si>
    <t>Pengadaan dan pendistribusian bibit ternak kepada masyarakat</t>
  </si>
  <si>
    <t>Penyuluhan dan pendampingan petani dan pelaku agribisnis</t>
  </si>
  <si>
    <t>Magang petani pengembangan tanaman hortikultura</t>
  </si>
  <si>
    <t>Pengembangan diversifikasi tanaman</t>
  </si>
  <si>
    <t>Peningkatan mutu dan keamanan pangan</t>
  </si>
  <si>
    <t>Peningkatan poduksi dan produktifitas sayuran dataran tinggi</t>
  </si>
  <si>
    <t>Pengembangan tanaman pisang dan nenas pada lahan tidak produktif pertanian dan lahan kering</t>
  </si>
  <si>
    <t>Penyediaan sarana produksi untuk pembuatan pupuk organik cair</t>
  </si>
  <si>
    <t>Pengembangan Tanaman Perkebunan</t>
  </si>
  <si>
    <t>Pengembangan Tanaman buah merah</t>
  </si>
  <si>
    <t>Bimbingan dan pendampingan petani pengembangan bibit unggul ubi jalar</t>
  </si>
  <si>
    <t>Dinas Tenaga Kerja dan Perindustrian</t>
  </si>
  <si>
    <t>Fasilitasi pembuatan sari buah merah</t>
  </si>
  <si>
    <t>Fasilitasi pengolahan garam pegunungan</t>
  </si>
  <si>
    <t>Fasilitasi pembuatan anyaman noken</t>
  </si>
  <si>
    <t>Fasilitasi pembuatan piring anyaman rotan</t>
  </si>
  <si>
    <t>Uji Laboratoris Kelayakan Kualitas Air Garam Moni</t>
  </si>
  <si>
    <t>Pengawasan Pembangunan Dana OTSUS</t>
  </si>
  <si>
    <t>Badan Perencanaan Pembangunan Penelitian dan Pegembangan Daerah</t>
  </si>
  <si>
    <t>Monitoring, evaluasi dan pelaporan kegiatan sumber dana OTSUS</t>
  </si>
  <si>
    <t>Penyusunan URD Otsus</t>
  </si>
  <si>
    <t>Badan Pendapatan Pengelolaan Keuangan dan Aset Daerah</t>
  </si>
  <si>
    <t>Program peningkatan pengembangan sistem pelaporan capaian kinerja dan keuangan</t>
  </si>
  <si>
    <t>Penyususnan laporan realisasi keuangan (OTSUS)</t>
  </si>
  <si>
    <t>BPPKAD (PPKD)</t>
  </si>
  <si>
    <t xml:space="preserve">Belanja Hibah </t>
  </si>
  <si>
    <t>Belanja Hibah Lembaga Adat</t>
  </si>
  <si>
    <t>Hibah Untuk Dewan Adat Intan Jaya</t>
  </si>
  <si>
    <t>Hibah Untuk LMA Intan Jaya</t>
  </si>
  <si>
    <t>Belanja Hibah Untuk Pemberdayaan Perempuan Kabupaten Intan Jaya</t>
  </si>
  <si>
    <t>Hibah ke Organisasi Perempuan Gereja Katolik (WKRI)</t>
  </si>
  <si>
    <t>Hibah ke Organisasi Perempuan Gereja Kingmi (DPC PWKI)</t>
  </si>
  <si>
    <t xml:space="preserve">Belanja Bantuan Sosial </t>
  </si>
  <si>
    <t>Honor Gembala/Pewarta Gereja</t>
  </si>
  <si>
    <t>Belanja Bantuan Bidang Pendidikan</t>
  </si>
  <si>
    <t>Penyediaan Bantuan Operasional Pendidikan Bagi Siswa Afirmasi ADIK</t>
  </si>
  <si>
    <t>Penyediaan Bantuan Operasional Pendidikan Bagi Siswa Afirmasi ADEM</t>
  </si>
  <si>
    <t>Beasiswa Bagi Siswa SMA dan SMK Asal Intan Jaya di Jayapura</t>
  </si>
  <si>
    <t>Beasiswa Bagi Siswa SMP Asal Intan Jaya di Jayapura</t>
  </si>
  <si>
    <t>Beasiswa Bagi Siswa SD Asal Intan Jaya di Jayapura</t>
  </si>
  <si>
    <t>Penyediaan Bantuan Operasional Mahasiswa KPG Nabire</t>
  </si>
  <si>
    <t xml:space="preserve">Penyediaan Makanan Tambahan Siswa TK Sesuai Usia Tumbuh Kembang Anak </t>
  </si>
  <si>
    <t>28</t>
  </si>
  <si>
    <t>Kabupaten Deiyai</t>
  </si>
  <si>
    <t>Pengadaan pendidik PAUD Formal dan Non Formal</t>
  </si>
  <si>
    <t>Penyelenggaraan PAUD Non-Formal dan Formal</t>
  </si>
  <si>
    <t>Pelatihan Kompetensi tenaga pendidik dan kependidikan</t>
  </si>
  <si>
    <t>Pengadaan makanan tambahan siswa berbahan lokal sesuai dengan ssia tumbuh berkembang</t>
  </si>
  <si>
    <t>Pembangunan Ruang Serba Guna</t>
  </si>
  <si>
    <t>Pengadaan guru kontrak jenjang SD</t>
  </si>
  <si>
    <t>Pengadaan buku penunjang pembelajaran dan pengayaan siswa jenjang SD</t>
  </si>
  <si>
    <t>Penyelenggaraan Pendidikan Kejar Paket A</t>
  </si>
  <si>
    <t>Penambahan ruang kelas SD reguler atau SD - SMP satu atap</t>
  </si>
  <si>
    <t>Pengadaan bahan habis pakai untuk penyediaan pendukung pembelajaran dan praktik siswa jenjang SD</t>
  </si>
  <si>
    <t>Penyediaan operasional kegiatan ekstrakurikuler jenjang SD</t>
  </si>
  <si>
    <t>Pengadaan pendidik (guru kontrak) jenjang SMP</t>
  </si>
  <si>
    <t>Penyelenggaraan Pendidikan Kejar Paket B</t>
  </si>
  <si>
    <t>Pengadaan bahan habis pakai untuk penyediaan pendukung pembelajaran dan praktik siswa jenjang  SMP</t>
  </si>
  <si>
    <t>Pelatihan kompetensi khusus bagi tenaga pendidik dan kependidikan termasuk life skill pencegahan HIV/AIDS</t>
  </si>
  <si>
    <t xml:space="preserve">Penyediaan beasiswa melanjutkan (transisi SMP ke SMA) untuk siswa asli papua </t>
  </si>
  <si>
    <t>Pengadaan komputer dan ICT untuk pembelajaran interaktif dan pangkalan data pendidikan jenjang SMP</t>
  </si>
  <si>
    <t>Penyediaan operasional kegiatan ekstrakurikuler jenjang SMP</t>
  </si>
  <si>
    <t>Penyediaan operasional praktik kerja industri (PRAKERIN)</t>
  </si>
  <si>
    <t>Pembangunan asrama siswa/siswi SMK berasrama</t>
  </si>
  <si>
    <t>Pengadaan Pendidik (guru kontrak) jenjang SMA</t>
  </si>
  <si>
    <t>Pelatihan kompetensi khusus bagi tenaga pendidik dan kependidikan termasuk life skill pencegahan HIV/AIDS jenjang SMA</t>
  </si>
  <si>
    <t>Penyelenggaraan Pendidikan Kejar Paket C</t>
  </si>
  <si>
    <t>Pembangunan tempat ibadah, perpustakaan, UKS, kamar mandi, jamban dan jaringan air bersih pipa atau bak penampungan air hujan disesuaikan dengan kondisi lingkungan</t>
  </si>
  <si>
    <t>Pengadaan bahan habis pakai untuk penyediaan pendukung pembelajaran dan praktik siswa jenjang  SMA</t>
  </si>
  <si>
    <t>Penyediaan operasional kegiatan ekstrakurikuler jenjang SMA</t>
  </si>
  <si>
    <t>Pengadaan Pendidik (guru kontrak) jenjang SMK</t>
  </si>
  <si>
    <t>Pelatihan kompetensi khusus bagi tenaga pendidik dan kependidikan termasuk life skill pencegahan HIV/AIDS jenjang SMK</t>
  </si>
  <si>
    <t>Pengadaan bahan habis pakai untuk penyediaan pendukung pembelajaran dan praktik siswa jenjang  SMK</t>
  </si>
  <si>
    <t>Penyelenggaraan Pendidikan Non Formal Keaksaraan Dasar (KF dan Pelatihan Ketrampilan Kerja)</t>
  </si>
  <si>
    <t>Penyediaan operasional lembaga penyelenggara pendidikan bagi kelompok adat terpencil (KAT)</t>
  </si>
  <si>
    <t>Dukungan beasiswa S1 untuk siswa/siswi SMA OAP berprestasi secara terbatas untuk jurusan yang sangat dibutuhkan dalam pembangunan daerah</t>
  </si>
  <si>
    <t>Peningkatan manajemen puskesmas</t>
  </si>
  <si>
    <t>Penanggulangan KLB, krisis/masalah kesehatan termasuk korban bencana</t>
  </si>
  <si>
    <t>Bantuan operasional kesehatan, upaya kesehatan rujukan dan pelayanan kesehatan ibu dan anak</t>
  </si>
  <si>
    <t>Pemberian drop vitamin A bagi bayi dan balita</t>
  </si>
  <si>
    <t>Pemberian tablet Fe (zat besi) bagi ibu hamil</t>
  </si>
  <si>
    <t>KIE pemanfaatan menu seimbang dari makanan lokal setempat</t>
  </si>
  <si>
    <t>Pemberian makanan tambahan kepada bayi, balita dan ibu hamil</t>
  </si>
  <si>
    <t>Penanggulangan kurang energi protein (KEP), anemia gizi besi, gangguan akibat kurang yodium (gaky), kurang vitamin A dan kekurangan zat gizi mikro lainnya</t>
  </si>
  <si>
    <t>Pelacakan dan penanganan kasus gizi buruk</t>
  </si>
  <si>
    <t>Penanggulangan TBC, malaria, filaria, frambusia, kusta, taenasis, penyakit tidak menular</t>
  </si>
  <si>
    <t>Pengadaan puskesmas keliling</t>
  </si>
  <si>
    <t>Pengadaan sarana dan prasarana posyandu</t>
  </si>
  <si>
    <t>Penyediaan alat kesehatan di puskesmas</t>
  </si>
  <si>
    <t>Immunisasi bagi anak balita</t>
  </si>
  <si>
    <t>UPTD Rumah Sakit Umum Daerah</t>
  </si>
  <si>
    <t>Peningkatan pelayanan di rumah sakit</t>
  </si>
  <si>
    <t>Dinas Penanaman Modal, Perijinan, Koperasi dan UKM</t>
  </si>
  <si>
    <t>Penciptaan wirausaha baru khususnya wirausaha asli papua</t>
  </si>
  <si>
    <t>Fasilitasi dukungan permodalan dan penjaminan usaha</t>
  </si>
  <si>
    <t>Pengembangan UMKM pengelola sumber daya alam lokal</t>
  </si>
  <si>
    <t xml:space="preserve">Sosialisasi dan pemantauan penyaluran KUR, PKBL dan dana lembaga keuangan </t>
  </si>
  <si>
    <t>Pembinaan koperasi peran serta masyarakat adat asli papua (KOPERMAS)</t>
  </si>
  <si>
    <t>Peningkatan ketrampilan berusaha</t>
  </si>
  <si>
    <t>Pemberian bantuan fasilitas dan permodalan</t>
  </si>
  <si>
    <t xml:space="preserve">Fasilitasi pemasaran hasil produksi </t>
  </si>
  <si>
    <t>Kantor Ketahanan Pangan</t>
  </si>
  <si>
    <t>Pengembangan komoditas unggulan tanaman pangan spesifik papua</t>
  </si>
  <si>
    <t>Pengembangan sarana dan prasarana pertanian tanaman pangan dan holtikultura</t>
  </si>
  <si>
    <t>Pengembangan teknologi tepat pendukung peningkatan produktivitas tanaman pangan dan holtikultura</t>
  </si>
  <si>
    <t>Penyuluhan sumber pangan spesifik lokal</t>
  </si>
  <si>
    <t>Pemanfaatan pekarangan oleh kelompok wanita tani OAP</t>
  </si>
  <si>
    <t>Peningkatan produksi benih tanaman pangan</t>
  </si>
  <si>
    <t>Pendistibusian bibit ternak kepada masyarakat</t>
  </si>
  <si>
    <t>Penyuluhan kualitas gizi dan pakan ternak</t>
  </si>
  <si>
    <t>Penyediaan dan pendistribusian vaksin dan pakan ternak</t>
  </si>
  <si>
    <t>Program peningkatan produksi perkebunan</t>
  </si>
  <si>
    <t>Perluasan areal komoditas perkebunan</t>
  </si>
  <si>
    <t>Pengembangan bibit unggul komoditas perkebunan spesifik papua</t>
  </si>
  <si>
    <t>Perlindungan, pembinaan dan pengembangan kebudayaan asli papua</t>
  </si>
  <si>
    <t>Pengembangan daerah tujuan wisata</t>
  </si>
  <si>
    <t>Pembinaan dan pengembangan prasarana budidaya perikanan air tawar</t>
  </si>
  <si>
    <t>Pembangunan tempat pelelangan ikan</t>
  </si>
  <si>
    <t>Pengembangan lembaga usaha perdagangan perikanan tangkap</t>
  </si>
  <si>
    <t>Penyediaan peralatan tangkap</t>
  </si>
  <si>
    <t>Pembudidayaan ikar air tawar/air payau</t>
  </si>
  <si>
    <t>Pengembangan/pembangunan dan rehabilitasi sarana budidaya air tawar/payau</t>
  </si>
  <si>
    <t>Program pembangunan jalan dan jembatan</t>
  </si>
  <si>
    <t>Pembangunan Jalan Odekotu - Dadagokogoo</t>
  </si>
  <si>
    <t>Pembangunan Jalan Pini - Amagoopugi Yakogo</t>
  </si>
  <si>
    <t>Pembangunan Jalan Pasar Lama - Bandara Lama</t>
  </si>
  <si>
    <t>Pembangunan Box Culvert Ruas Jalan Gakokebo - Yinudoba</t>
  </si>
  <si>
    <t>Pembangunan Jaringan Air Bersih</t>
  </si>
  <si>
    <t>Pembangunan rumah layak huni bagi masyarakat asli papua</t>
  </si>
  <si>
    <t>Pembangunan bandara komouto distrik kapiraya</t>
  </si>
  <si>
    <t>Pengadaan angkutan umum</t>
  </si>
  <si>
    <t>Kegiatan pameran hasil karya perempuan dibidang pembangunan</t>
  </si>
  <si>
    <t>Pembinaan dan pemberdayaan komunitas adat terpencil (KAT)</t>
  </si>
  <si>
    <t>Afirmasi lembaga agama</t>
  </si>
  <si>
    <t>Program perencanaan sosial dan budaya</t>
  </si>
  <si>
    <t>Koordinasi perencanaan pembangunan bidang sosial dan budaya</t>
  </si>
  <si>
    <t>Implementasi Sistem Administrasi Kependudukan (membangun, updating dan pemeliharaan)</t>
  </si>
  <si>
    <t>Pengembangan data base kependudukan</t>
  </si>
  <si>
    <t>29</t>
  </si>
  <si>
    <t>KOTA JAYAPURA</t>
  </si>
  <si>
    <t>URUSAN WAJIB PELAYANAN DASAR PENDIDIKAN</t>
  </si>
  <si>
    <t>Pemangunan RKB Bertingkat TK Pembina Kotaraja</t>
  </si>
  <si>
    <t>Penambahan Ruang Kelas Baru (berbasis sentra belajar)</t>
  </si>
  <si>
    <t>Penambahan Ruang Kelas SD Reguler atau SD-SMP Satu Atap</t>
  </si>
  <si>
    <t>Dukungan Pelaksanaan Lomba Mutu Pendidikan Dasar (Olimpiade riset bagi siswa dan guru)</t>
  </si>
  <si>
    <t>Pengadaan Mkanan Tambahan Anak Sekolah SD Reguler Berbasis Bahan Makanan Lokal</t>
  </si>
  <si>
    <t>Penambahan Perlengkapan Pendukung Untuk Sekolah</t>
  </si>
  <si>
    <t>Pembangunan Ruang Serbaguna/Lapangan Olahraga</t>
  </si>
  <si>
    <t>Rehab Ruang Perpustakaan SDN Inpres 1 Abepura</t>
  </si>
  <si>
    <t>Penambahan/Rehab Ruang Kelas SMP YPK Sion Padang Bulan</t>
  </si>
  <si>
    <t>Pengadaan Komputer dan Perlengkapan ICT untuk Pembelajaran Interaktif Jaringan Internet dan Pangkalan Data Pendidikan</t>
  </si>
  <si>
    <t>Dukungan Tambahan Jam Pelajaran (Remedial) dan Pendalaman (Kelas Khusus Eksata SMP / Eksata Bagi Siswa Port Numbay</t>
  </si>
  <si>
    <t>Pembangunan Ruang Serbaguna/Lapangan Upacara Pemasangan Paving Block SMP YPK DIASPORA Kotaraja</t>
  </si>
  <si>
    <t>Lomba Keaksaraan dan Pameran PKBM, LKP dalam Rangka Hari Aksara Internasional</t>
  </si>
  <si>
    <t>Pelatihan Tutor Paket A, B, dan C</t>
  </si>
  <si>
    <t>Pendampingan Penulisan Modul Bahasa Port Numbay</t>
  </si>
  <si>
    <t>Perlombaan Cerita Rakyat Bahasa Port Numbay</t>
  </si>
  <si>
    <t>Pelestarian Budaya Port Numbay</t>
  </si>
  <si>
    <t>Pengembangan Model Pendidikan Keaksaraan Yang Sesuai Dengan Kondisi Sosial Setempat (Penutasan Buta Aksara)</t>
  </si>
  <si>
    <t>Sosialisasi Pengasuhan Positif (Pendidikan Keluarga)</t>
  </si>
  <si>
    <t>Pengadaan Komputer dan Perlengkapan Untuk Pembelajaran Mahasiswa Baru Universitas Kristen Satya Wacana Salatiga</t>
  </si>
  <si>
    <t>Jumlah Mahasiswa Baru Port Numbat (PKP3N) yang Difasilitasi Seleksi Serta Akomodasi Ke Universitas Kristen Satya Wacana Salatiga</t>
  </si>
  <si>
    <t>Peningkatan Kualifikasi Guru dan Tenaga Kependidikan DIII ke S1</t>
  </si>
  <si>
    <t>Insentif Guru Perbatasan (SD dan SMP)</t>
  </si>
  <si>
    <t>Dukungan Untuk Try Out Ujian Nasional SMP</t>
  </si>
  <si>
    <t>Dukungan Untuk Try Out Ujian Nasional SD</t>
  </si>
  <si>
    <t>URUSAN WAJIB PELAYANAN DASAR KESEHATAN</t>
  </si>
  <si>
    <t>Pengadaan Obat dan Pengiriman ke Puskesmas dan Jaringannya Termasuk Obat ARV</t>
  </si>
  <si>
    <t>Penunjang Tenaga Kesehatan Daerah Perbatasan</t>
  </si>
  <si>
    <t>Biaya Operasional Dokter Spesialis</t>
  </si>
  <si>
    <t>Peningkatan Kapasitas Tenaga Kesehatan Puskesmas dan Pustu</t>
  </si>
  <si>
    <t>Peningkatan Kapasitas Kader Posyandu dan Pembayaran Insentif Kader</t>
  </si>
  <si>
    <t>Pelatihan Dokter Kecil</t>
  </si>
  <si>
    <t>Pelatihan Kader Pos Pembinaan Terpadu</t>
  </si>
  <si>
    <t>Penyuluhan Kesehatan Bagi Masyarakat di 14 Kampung</t>
  </si>
  <si>
    <t>Penanggulangan Kurang Energi Protein (KEP), Anemia Gizi Besi, Gangguan Akibat kurang Yodium (GAKY), Kurang Vitamin A, dan Kekurangan Zat Gizi Mikro Lainnya</t>
  </si>
  <si>
    <t>Pemberian Makanan Tambahan</t>
  </si>
  <si>
    <t>Pelatihan PWS Gizi Masyarakat dan APN (Asuhan Persalinan Normal)</t>
  </si>
  <si>
    <t>Peningkatan Kesehatan Lingkungan Permukiman</t>
  </si>
  <si>
    <t>Pembentukan Tim Kota Sehat</t>
  </si>
  <si>
    <t>Penanganan Penyakit Malaria Menuju Eliminasi Malaria Tahun 2027</t>
  </si>
  <si>
    <t>Penanganan Penyakit Menular Malaria, Filariasis, Kusta dan Frambusia, TB-Paru dan HIV/AIDS</t>
  </si>
  <si>
    <t>Pengobatan Langsung (Cuma-Cuma) pada Masyarakat</t>
  </si>
  <si>
    <t>Skrining Kesehatan Keluarga Masyarakat Papua (OAP)</t>
  </si>
  <si>
    <t>Kerja Sama dengan NGO, LSM Lokal, Toga, Tokoh Perempuan dan Tokoh Masyarakat</t>
  </si>
  <si>
    <t>Pengadaan Perlengkapan Persalinan Ibu Hamil dan Bayi - Balita</t>
  </si>
  <si>
    <t>Peningkatan Peran Posyandu</t>
  </si>
  <si>
    <t>Pengembangan Posyandu Lansia</t>
  </si>
  <si>
    <t>Jaminan Kesehatan Masyarakat Asli Papua</t>
  </si>
  <si>
    <t>Pemberian Jaminan Kesehatan Kepada Orang Asli Papua (OAP)</t>
  </si>
  <si>
    <t>URUSAN WAJIB PELAYANAN DASAR PEKERJAAN UMUM DAN PENATAAN RUANG</t>
  </si>
  <si>
    <t>Dinas Pekerjaan Umum dan Tata Ruang</t>
  </si>
  <si>
    <t>Program Peningkatan Jalan &amp; Jembatan</t>
  </si>
  <si>
    <t>Pembangunan/Peningkatan dan Pemeliharaan Jalan Jembatan OAP</t>
  </si>
  <si>
    <t>Penyediaan prasarana dan sarana air minum bagi masyarakat berpenghasilan rendah OAP</t>
  </si>
  <si>
    <t>Penataan Lingkungan Pemukiman Penduduk Kampung OAP</t>
  </si>
  <si>
    <t>Pembangunan sarana dan prasarana air bersih di kampung OAP</t>
  </si>
  <si>
    <t>Pemasangan LPJU Baru (OTSUS)</t>
  </si>
  <si>
    <t>URUSAN WAJIB PELAYANAN DASAR SOSIAL</t>
  </si>
  <si>
    <t>Penyediaan Bahan Bangunan Rumah ( BBR ) bagi Warga Masyarakat Miskin</t>
  </si>
  <si>
    <t>Program pembinaan anak terlantar</t>
  </si>
  <si>
    <t>Pelatihan ketrampilan dan praktek belajar kerja bagi anak terlantar</t>
  </si>
  <si>
    <t>Peningkatan Peran Lembaga Agama Dalam Membina Iman Umat</t>
  </si>
  <si>
    <t>URUSAN WAJIB BUKAN PELAYANAN DASAR TENAGA KERJA</t>
  </si>
  <si>
    <t>URUSAN WAJIB BUKAN PELAYANAN DASAR PEMBERDAYAAN PEREMPUAN DAN PERLINDUNGAN ANAK</t>
  </si>
  <si>
    <t>Dinas Pemberdayaan Perempuan, Perlindungan Anak dan KB</t>
  </si>
  <si>
    <t>Sosialisasi Kesetaraan &amp; Keadilan Gender (KKG)</t>
  </si>
  <si>
    <t>Workshop Peningkatan Kapasitas Bagi Perempuan (OAP) di Bidang Politik</t>
  </si>
  <si>
    <t>Workshop Kesetaraan Gender dan Pemberdayaan Perempuan OAP</t>
  </si>
  <si>
    <t>Bimbingan Manajemen Usaha Bagi Perempuan Asli Papua (OAP) dalam Mengelola Usaha</t>
  </si>
  <si>
    <t>Pelayanan KB Bagi Keluarga Pra Sejahtera dan Keluarga Sejahtera Tahap I</t>
  </si>
  <si>
    <t>Advokasi dan KIE tentang Kesehatan Reproduksi Remaja (KRR)</t>
  </si>
  <si>
    <t>Program pelayanan kontrasepsi</t>
  </si>
  <si>
    <t>Sosialisasi Kampung KB</t>
  </si>
  <si>
    <t>Pelayanan Papsmear di 5 Distrik Kota Jayapura</t>
  </si>
  <si>
    <t>URUSAN WAJIB BUKAN PELAYANAN DASAR PEMBERDAYAAN MASYARAKAT DESA</t>
  </si>
  <si>
    <t>Pengembangan Usaha Perikanan Budidaya Kota Jayapura</t>
  </si>
  <si>
    <t>Pengembangan Produksi dan Pengelolaan Kesehatan Ikan</t>
  </si>
  <si>
    <t>Pengelolaan Sumberdaya Ikan</t>
  </si>
  <si>
    <t>Program Optimalisasi pengelolaan dan pemasaran produksi perikanan</t>
  </si>
  <si>
    <t>Fasilitasi Perkembangan Promosi dan Akses Pasar Produk Perikanan</t>
  </si>
  <si>
    <t>Penguatan Daya Saing Produk Perikanan</t>
  </si>
  <si>
    <t>Perlindungan Pembinaan dan Pengembangan Kebudayaan Asli Papua</t>
  </si>
  <si>
    <t>Dinas Ketahanan Pangan dan Pertanian</t>
  </si>
  <si>
    <t>Pengembangan Pertanian Hidroponik</t>
  </si>
  <si>
    <t>Pengembangan Komuditas Ungulan Hortikultura Spesifik Papua (Pengembangan Buah Merah)</t>
  </si>
  <si>
    <t>Pengembangan Komoditas Palawija</t>
  </si>
  <si>
    <t>Pengembangan Komoditas Unggulan Hortikultura (Pengembangan Buah Naga)</t>
  </si>
  <si>
    <t>Peningkatan Mutu dan Keamanan Pangan</t>
  </si>
  <si>
    <t>Penganekaragaman Pangan Spesifik Lokal (Pengembangan Diversifikasi Tanaman)</t>
  </si>
  <si>
    <t>Pemanfaatan Perkarangan Oleh Kelompok Wanita Tani (Pemanfaatan Perkarangan Untuk Pengembangan Pangan)</t>
  </si>
  <si>
    <t>Pengembangan Anggrek Spesies Papua</t>
  </si>
  <si>
    <t>Pengadaan sarana dan prasarana teknologi pertanian/perkebunan tepat guna</t>
  </si>
  <si>
    <t>Pelatihan dan Bimbingan Penerapan Teknologi Peternakan Tepat Guna</t>
  </si>
  <si>
    <t>Pengembangan Sarana dan Prasarana Perkebunan</t>
  </si>
  <si>
    <t>Peningkatan Prasarana dan Sarana Perkebunan</t>
  </si>
  <si>
    <t>Dinas Perindustrian, Perdagangan, Koperasi dan UKM</t>
  </si>
  <si>
    <t>Program penciptaan iklim usaha Usaha Kecil Menengah yang konduksif</t>
  </si>
  <si>
    <t>Fasilitasi Pengembangan Bantuan Modal Usaha Perlengkapnnya Bagi UMKM dan Pendamping</t>
  </si>
  <si>
    <t>Peningkatan Kapasitas Pengurus dan Pengelolah Koperasi</t>
  </si>
  <si>
    <t>Fasilitasi Pengembangan Sarana Galeri UMKM</t>
  </si>
  <si>
    <t>Pelatihan Menajemen Keuangan Bagi UMKM Kota Jayapura</t>
  </si>
  <si>
    <t>Fasilitasi Promosi Produk Unggulan UMKM Kota Jayapura</t>
  </si>
  <si>
    <t>Peningkatan Fasilitas dan Pengembangan Usaha Koperasi</t>
  </si>
  <si>
    <t>Peningkatan Permodalan dan Pendampingan Koperasi</t>
  </si>
  <si>
    <t>Fasilitasi Barang Hasil Kerajinan Daerah</t>
  </si>
  <si>
    <t>Pengadaan Mesin/Peralatan Bagi Pelaku Usaha Industri Kecil dan Menengah (IKM) dan Pendampingan</t>
  </si>
  <si>
    <t>Pelatihan Teknis Anyaman Piring Lidi dan Pelatihan Penjahitan</t>
  </si>
  <si>
    <t>Fasilitasi Batik Port Numbay</t>
  </si>
  <si>
    <t>Pelatihan Gugus Kendali Mutu (GKM) dan Penerapannya</t>
  </si>
  <si>
    <t>Penyusunan Dokumen URD / RD OTSUS</t>
  </si>
  <si>
    <t>Monitoring, evaluasi dan pelaporan OTSUS</t>
  </si>
  <si>
    <t>Evaluasi Hasil Pelaksanaan OTSUS</t>
  </si>
  <si>
    <t>Belanja Bantuan Pengembangan Usaha Kecil Bagi UMKM</t>
  </si>
  <si>
    <t>Belanja Bantuan Khusus Pendidikan Non PNS</t>
  </si>
  <si>
    <t>Belanja Bantuan Pendidikan / Beasiswa Tugas Belajar</t>
  </si>
  <si>
    <t>Bantauan Operasional Guru Perbatasan</t>
  </si>
  <si>
    <t>C</t>
  </si>
  <si>
    <t>D</t>
  </si>
  <si>
    <t>E</t>
  </si>
  <si>
    <t>F</t>
  </si>
  <si>
    <t>G</t>
  </si>
  <si>
    <t>H</t>
  </si>
  <si>
    <t>I</t>
  </si>
  <si>
    <t>REKAPITULASI ALOKASI DAN REALISASI PENGGUNAAN DANA OTONOMI KHUSUS UNTUK PENDIDIKAN</t>
  </si>
  <si>
    <t xml:space="preserve"> DIURAIKAN BERDASARKAN, ORGANISASI, PROGRAM/KEGIATAN PROVINSI DAN KABUPATEN/KOTA </t>
  </si>
  <si>
    <t xml:space="preserve"> TAHUN ANGGARAN 2018</t>
  </si>
  <si>
    <t>Tabel A.5</t>
  </si>
  <si>
    <t>REALISASI ANGGARAN  (Rp.)</t>
  </si>
  <si>
    <t xml:space="preserve">PROSENTASE REALISASI ANGGARAN (%)       </t>
  </si>
  <si>
    <t>CAPAIAN OUTPUT                (%)</t>
  </si>
  <si>
    <t>(13)</t>
  </si>
  <si>
    <t>Rumah Sakit jiwa</t>
  </si>
  <si>
    <t>DINAS KEBUADAYAAN</t>
  </si>
  <si>
    <t xml:space="preserve">PROGRAM BERSAMA BIDANG PENDIDIKAN </t>
  </si>
  <si>
    <t xml:space="preserve">     </t>
  </si>
  <si>
    <t>KABUPATEN JAYAWIJAYA</t>
  </si>
  <si>
    <t>Pembinaaan minat, bakat, dan kreativitas siswa (OTSUS)</t>
  </si>
  <si>
    <t>Pendidikan Sekolah Genius</t>
  </si>
  <si>
    <t>KABUPATEN PANIAI</t>
  </si>
  <si>
    <t>10</t>
  </si>
  <si>
    <t>Pengadaan Makanan Tambahan Siswa Berbahan Lokal Sesuai Dengan Usia Tumber Kembang Anak Pengayaan Siswa Kelas 6 dan Kelas 9</t>
  </si>
  <si>
    <t>Program Wajin Belajar</t>
  </si>
  <si>
    <t>Pemeliharaan rutin/berkala bangunan sekolah (OTSUS)</t>
  </si>
  <si>
    <t>Pelatihan kompetisi tenaga pendidik (OTSUS)</t>
  </si>
  <si>
    <t>Kegiatan Penyediaan Guru atau Guru Pendamping TK/PAUD (OTSUS)</t>
  </si>
  <si>
    <t xml:space="preserve">Program Wajib Belajar Pendidikan Dasar Sembilan Tahun </t>
  </si>
  <si>
    <t>Pengadaan perlengkapan sekolah (OTSUS)</t>
  </si>
  <si>
    <t>Pengadaan Bahan Habis Pakai Untuk Pendukung Pembelajaran dan Praktik Siswa (OTSUS)</t>
  </si>
  <si>
    <t>Program Pendidikan Non-Formal</t>
  </si>
  <si>
    <t>Penyediaan Biaya Operasional Bagi Lembaga Penyelenggara Pendidikan Bagi Kelompok Adat  Terpencil</t>
  </si>
  <si>
    <t xml:space="preserve"> BADAN PENGELOLAAN KEUANNGAN DAN ASET DAERAH</t>
  </si>
  <si>
    <t xml:space="preserve">Beasiswa Transisi Siswa Asli Papua Program Pendidikan Dasar (kerjasama dengan Sekolah Anak Indonesia)
</t>
  </si>
  <si>
    <t>Pembangunan gedung sekolah</t>
  </si>
  <si>
    <t>Pemberian Bantuan Operasional Pendidikan Non Formal</t>
  </si>
  <si>
    <t>Hibah Kepada Tim Peduli Pembangunan Pendidikan</t>
  </si>
  <si>
    <t>Hibah Kepada ADIK dan ADEM</t>
  </si>
  <si>
    <t>Bantuan Pelajar SMA Buper</t>
  </si>
  <si>
    <t>KABUPATEN DEIYAI</t>
  </si>
  <si>
    <t>REKAPITULASI ALOKASI DAN REALISASI PENGGUNAAN DANA OTONOMI KHUSUS UNTUK KESEHATAN</t>
  </si>
  <si>
    <t>Tabel A.7</t>
  </si>
  <si>
    <t>KABUPATEN MERAUKE</t>
  </si>
  <si>
    <t xml:space="preserve"> </t>
  </si>
  <si>
    <t>Pengadaan obat dan perbekalan kesehatan di Rumah Sakit (OTSUS)</t>
  </si>
  <si>
    <t>Peningkatan Kesehatan Masyarakat (OTSUS)</t>
  </si>
  <si>
    <t>Penyediaan Biaya Operasional Kesehatan Rumah Sakit Pratama Karubaga (OTSUS)</t>
  </si>
  <si>
    <t>Penyediaan Tenaga Kesehatan Tidak Tetap (Kontrak)</t>
  </si>
  <si>
    <t xml:space="preserve"> Program KB</t>
  </si>
  <si>
    <t>Program Pengadaan, Peningkatan Sarana dan Prasaran Rumah Sakit</t>
  </si>
  <si>
    <t>URUSAN WAJIB BUKAN PELAYANAN DASAR PENGENDALIAN PENDUDUK DAN KELUARGA BERENCANA</t>
  </si>
  <si>
    <t xml:space="preserve"> Subsidi Kepada Penyelengara Jaminan Kesehatan OAP Lanny Jaya</t>
  </si>
  <si>
    <t>Bantuan Sosial Kepada  Masyarakat untuk Jaminan Kesehatan</t>
  </si>
  <si>
    <t xml:space="preserve">DINAS PEMBERDAYAAN PEREMPUAN </t>
  </si>
  <si>
    <t xml:space="preserve">PROGRAM PROMOSI KESEHATAN IBU, BAYI DAN ANAK </t>
  </si>
  <si>
    <t xml:space="preserve">PEMBERIAN MAKANAN TAMBAHAN KEPADA BAYI, BALITA &amp; IBU HAMIL </t>
  </si>
  <si>
    <t>REKAPITULASI ALOKASI DAN REALISASI PENGGUNAAN DANA TAMBAHAN INFRASTRUKTUR</t>
  </si>
  <si>
    <t xml:space="preserve"> DIURAIKAN BERDASARKAN, ORGANISASI, PROGRAM/KEGIATAN  </t>
  </si>
  <si>
    <t>PROVINSI        : PAPUA</t>
  </si>
  <si>
    <t>PENERIMAAN  : Rp 2.400.000.000.000</t>
  </si>
  <si>
    <t xml:space="preserve">Tabel A.9  </t>
  </si>
  <si>
    <t>Pembangunan Ring Road Jayapura - Sentani (Lingkar Dalam), Jbt</t>
  </si>
  <si>
    <t>Pembangunan Jalan Enarotali (Paniai) - Sugapa, (139) (50 Km)</t>
  </si>
  <si>
    <t>Pembangunan Jalan Burmeso - Gesa - Barapasi (118), 194,60 Km</t>
  </si>
  <si>
    <t>Pembangunan Jalan Taja - SP V - Kwarja (106)</t>
  </si>
  <si>
    <t>Pembangunan Jembatan Holtekamp Jayapura (Landmark Papua)</t>
  </si>
  <si>
    <t>Pembangunan Jalan Keppi - Bade (181)</t>
  </si>
  <si>
    <t>Pembangunan Jalan Karubaga - Wunim - Bokondini (154)</t>
  </si>
  <si>
    <t>Pembangunan Jalan Elelim - Kobakma</t>
  </si>
  <si>
    <t>Pembangunan Jembatan Kauga (60 M'') (Kaugapu - SP V)</t>
  </si>
  <si>
    <t>Pembangunan Jembatan Sanoba (di ruas jalan Samabusa - Nabarua Bawah)</t>
  </si>
  <si>
    <t>Pembangunan Jembatan Kali Ubiyong  (25 M'') (Arso XIV - Sawia - kwarja (114))</t>
  </si>
  <si>
    <t>Pembangunan Jembatan Pun (Bolakme - Kelila - Bokondini (167))</t>
  </si>
  <si>
    <t>Pembangunan Jalan Poros Agats</t>
  </si>
  <si>
    <t>Pembebasan Lahan Jembatan Wosi</t>
  </si>
  <si>
    <t>Pembangunan Jalan SP II - Napan (138) 20,00 Km (KEWAJIBAN)</t>
  </si>
  <si>
    <t>Pembangunan Jalan Tengon - Lereh (KEWAJIBAN)</t>
  </si>
  <si>
    <t>Pembangunan Jalan Nume - Tiom (KEWAJIBAN)</t>
  </si>
  <si>
    <t>Pengadaan Rangka/Tiang Pancang Jembatan (KEWAJIBAN)</t>
  </si>
  <si>
    <t>Program rehabilitasi/pemeliharaan Jalan dan Jembatan</t>
  </si>
  <si>
    <t>Pemeliharaan Jalan dan Jembatan Provinsi Papua</t>
  </si>
  <si>
    <t>Program pengembangan dan pengelolaan jaringan irigasi, rawa dan jaringan pengairan lainnya</t>
  </si>
  <si>
    <t>Peningkatan Jaringan Irigasi DI. Lereh SP 5</t>
  </si>
  <si>
    <t>Program penyediaan dan pengolahan air baku</t>
  </si>
  <si>
    <t>Pembangunan Infrastruktur Air Bersih/Baku Kabupaten Tolikara</t>
  </si>
  <si>
    <t>Pembangunan Infrastruktur Air Bersih/Baku Kabupaten Yahukimo</t>
  </si>
  <si>
    <t>Pembangunan Infrastruktur Air Bersih/Baku Kabupaten Nduga</t>
  </si>
  <si>
    <t>Pembangunan Infrastruktur Air Bersih/Baku Kabupaten Lanny Jaya</t>
  </si>
  <si>
    <t>Pembangunan SPAM  Kabupaten Jayawijaya</t>
  </si>
  <si>
    <t>Pengembangan SPAM Distrik Nabire</t>
  </si>
  <si>
    <t>Pembangunan DRAINASE di Kota Jayapura</t>
  </si>
  <si>
    <t>Pembangunan jaringan air bersih di kab Intan Jaya</t>
  </si>
  <si>
    <t>Pembangunan jaringan air bersih di Kampung Harapan</t>
  </si>
  <si>
    <t>Penyusunan DED Air Bersih di Provinsi Papua</t>
  </si>
  <si>
    <t>Program pengendalian banjir</t>
  </si>
  <si>
    <t>Pengendalian Banjir Sungai Tami Kab. Keerom</t>
  </si>
  <si>
    <t>Pembangunan Pengamanan Pantai Kurudu Kep. Yapen</t>
  </si>
  <si>
    <t xml:space="preserve">Pembangunan Pengaman Pantai MAF Kabupaten Nabire </t>
  </si>
  <si>
    <t>Pengendalian Banjir Arso IV</t>
  </si>
  <si>
    <t>Pembangunan prasarana pengendali banjir</t>
  </si>
  <si>
    <t>Program pengembangan wilayah strategis dan cepat tumbuh</t>
  </si>
  <si>
    <t>Pembangunan Fasilitas Lapangan Olahraga Mandala</t>
  </si>
  <si>
    <t>Penataan Kawasan Tugu Patung Yesus</t>
  </si>
  <si>
    <t>Peningkatan Jalan dan Jembatan</t>
  </si>
  <si>
    <t>Peningkatan Jalan Berap - Nimbotong - Lereh - Tengon (110)</t>
  </si>
  <si>
    <t>Peningkatan Jalan Legare - Samabusa</t>
  </si>
  <si>
    <t>Peningkatan Jalan Karubaga - Wunim - Bokondini (154)</t>
  </si>
  <si>
    <t>Peningkatan Jalan Legare - Samabusa (KEWAJIBAN)</t>
  </si>
  <si>
    <t>Peningkatan Jalan Kuansu - Besum - Genyem (KEWAJIBAN)</t>
  </si>
  <si>
    <t>Program Perencanaan Teknis Jalan dan Jembatan</t>
  </si>
  <si>
    <t>Perencanaan Teknis Jalan dan Jembatan di Provinsi Papua</t>
  </si>
  <si>
    <t>Penyusunan IRMS dan BMS Kebinamargaan</t>
  </si>
  <si>
    <t>Penataan Peningkatan Infrastruktur Kawasan Pemukiman di  Kabupaten Jayapura</t>
  </si>
  <si>
    <t>Penataan Peningkatan Infrastruktur Kawasan Pemukiman di Kabupaten Biak</t>
  </si>
  <si>
    <t>Penataan Peningkatan Infrastruktur Kawasan Pemukiman di Kabupaten Keerom</t>
  </si>
  <si>
    <t>Program Lingkungan Sehat Perumahan</t>
  </si>
  <si>
    <t>Penataan peningkatan infrastruktur pemukiman kawasan kumuh di Kota Jayapura (APO dan Kloofkamp)</t>
  </si>
  <si>
    <t>Program perbaikan perumahan akibat bencana alam/sosial</t>
  </si>
  <si>
    <t>Fasilitasi dan stimulasi rahabilitasi rumah akibat bencana alam</t>
  </si>
  <si>
    <t>Penataan Peningkatan Infrastruktur Kawasan Pemukiman di Kota Jayapura</t>
  </si>
  <si>
    <t>Penataan Peningkatan Infrastruktur Kawasan Pemukiman di Kabupaten Nabire</t>
  </si>
  <si>
    <t>Pengadaan dan Pemasangan Fasilitas Keamanan Penerbangan di VIP Room Bandara Sentani Jayapura</t>
  </si>
  <si>
    <t>Penyusunan RTT Lapter Obio di Kabupaten Yahukimo</t>
  </si>
  <si>
    <t>Penyusunan SID dan DED Dermaga Danau Bunauwo di Kabupaten Dogiyai</t>
  </si>
  <si>
    <t>Pengadaan Angkutan Pedesaan</t>
  </si>
  <si>
    <t>Pengadaan Bus Penunjang Kegiatan PON XX</t>
  </si>
  <si>
    <t>Pembangunan Pelabuhan Laut Waren di Kabupaten Waropen</t>
  </si>
  <si>
    <t>Pembangunan Pelabuhan Laut Miosbipondi di Kabupaten Supiori</t>
  </si>
  <si>
    <t>Pembangunan Pelabuhan Perintis Pulau Mambor di Kabupaten Nabire</t>
  </si>
  <si>
    <t>Pembangunan Pelabuhan Ampimoi di Kabupaten Kepulauan Yapen</t>
  </si>
  <si>
    <t>Pembangunan Bandar Udara Botawa di Kabupaten Waropen</t>
  </si>
  <si>
    <t>Pembangunan Bandar Udara Mamit di Kabupaten Tolikara</t>
  </si>
  <si>
    <t>Pembangunan Bandar Udara Fawi di Kabupaten Puncak</t>
  </si>
  <si>
    <t>Pembangunan Terminal Penumpang Tipe B di Kota Jayapura</t>
  </si>
  <si>
    <t>Pembangunan Terminal Penumpang Tipe B di Kab. Nabire</t>
  </si>
  <si>
    <t>Pembangunan Dermaga Sungai Sipu-Sipu Distrik Jita di Kabupaten Mimika</t>
  </si>
  <si>
    <t>Pembangunan Bandar Udara Panggema di Kabupaten Yahukimo</t>
  </si>
  <si>
    <t>Pembangunan Bandar Udara Ninia di Kabupaten Yahukimo</t>
  </si>
  <si>
    <t>Peningkatan Bandar Udara Kustra di Kabupaten Mamberamo Raya</t>
  </si>
  <si>
    <t>Pembangunan Bandar Udara Saminage di Kabupaten Yahukimo</t>
  </si>
  <si>
    <t>Pembangunan Terminal Penumpang Tipe B di Kabupaten Jayawijaya</t>
  </si>
  <si>
    <t>Pembangunan Terminal Penumpang Tipe B di Kabupaten Merauke</t>
  </si>
  <si>
    <t>Pembangunan Dermaga Danau 4 (empat) Lokasi di Danau Sentani Kabupaten Jayapura</t>
  </si>
  <si>
    <t>Pembangunan Bandar Udara Kobakma di Kabupaten Mamberamo Tengah</t>
  </si>
  <si>
    <t>Pengembangan Pelabuhan Laut Kepi di Kabupaten Mappi</t>
  </si>
  <si>
    <t>Pembangunan Pelabuhan Laut Pulau Wakde di Kabupaten Sarmi</t>
  </si>
  <si>
    <t>Pengembangan Pelabuhan Laut Tanah Merah di Kabupaten Boven Digoel</t>
  </si>
  <si>
    <t>Pembangunan bandar Udara Kuyawage di Kabupaten Lanny Jaya</t>
  </si>
  <si>
    <t>Program pengendalian dan pengamanan lalu lintas</t>
  </si>
  <si>
    <t>Pengadaan dan Pemasangan Fasilitas Keselamatan Jalan</t>
  </si>
  <si>
    <t>Pengembangan/pembangunan JARKOMDA di lingkungan pemerintah</t>
  </si>
  <si>
    <t>Pengamanan, Pengendalian dan Pembuatan Sistem Pelaporan Operasionalisasi JARKOMDA</t>
  </si>
  <si>
    <t>Pengelolaan Disaster Recovery Cebter (DRC) Provinsi Papua</t>
  </si>
  <si>
    <t>Pengembangan Aplikasi e-Government</t>
  </si>
  <si>
    <t>Pengembangan Sistem Website Pemerintah Provinsi Papua</t>
  </si>
  <si>
    <t>Pembinaan Layanan e-Government</t>
  </si>
  <si>
    <t>Pembangunan BTS Telekomunikasi</t>
  </si>
  <si>
    <t>Pembangunan/Pengembangan Kampung IT</t>
  </si>
  <si>
    <t>Penyiapan Teknologi Informasi dan Komunikasi</t>
  </si>
  <si>
    <t>Jasa Berlangganan Fasilitas Komunikasi Data Antar SKPD Di Lingkungan Pemerintah Provinsi Papua Dan Masyarakat</t>
  </si>
  <si>
    <t>Program Peningkatan Sarana dan Prasarana Olahraga</t>
  </si>
  <si>
    <t>Pembangunan Gedung Olahraga RINDAM</t>
  </si>
  <si>
    <t xml:space="preserve">Pembangunan GOR Otonom </t>
  </si>
  <si>
    <t>Pengembangan Prasarana PON</t>
  </si>
  <si>
    <t>Pembangunan Stadion Utama</t>
  </si>
  <si>
    <t>Program Pembangunan dan Pengembangan sarana dan prasarana olahraga yang berstandar nasional dan Internasional</t>
  </si>
  <si>
    <t>Rehabilitasi/Pengembangan Lapangan Tenis</t>
  </si>
  <si>
    <t>Pembangunan Lapangan Softball dan Baseball</t>
  </si>
  <si>
    <t>Pembangunan GOR Futsal</t>
  </si>
  <si>
    <t>Pengembangan fasilitas multi media/display</t>
  </si>
  <si>
    <t>Dinas Energi dan Sumberdaya Mineral</t>
  </si>
  <si>
    <t>Program pembinaan dan pengawasan bidang pertambangan</t>
  </si>
  <si>
    <t>Pengawasan IUP dan IUPK Explorasi dan operasi produksi ijin usaha jasa pertambangan dan surat keterangan terdaftar</t>
  </si>
  <si>
    <t>Program pembinaan dan pemutakhiran sistem data dan informasi energi dan sumber daya mineral</t>
  </si>
  <si>
    <t>Promosi potensi energi dan sumber daya mineral di dalam dan luar negeri</t>
  </si>
  <si>
    <t>Program Pelayanan Air Bersih</t>
  </si>
  <si>
    <t>Pemboran air bawah tanah untuk masyarakat kampung sulit air bersih</t>
  </si>
  <si>
    <t>Program Pembinaan, Pengawasan, Pengusahaan Mineral dan Batubara</t>
  </si>
  <si>
    <t>Penyediaan Peralatan Teknis Bantuan kepada Masyarakat Penambang</t>
  </si>
  <si>
    <t>Program Penelitian, Mitigasi dan Pelayanan Geologi</t>
  </si>
  <si>
    <t>Penelitian dan Pengembangan Teknologi Mineral dan Batubara</t>
  </si>
  <si>
    <t>Program Pengelolaan Listrik dan Pemanfaatan Energi</t>
  </si>
  <si>
    <t>Pengawasan Keselamatan dan Lindungan Lingkungan Ketenagalistrikan serta Usaha Jasa Penunjang Tenaga Listrik</t>
  </si>
  <si>
    <t>Penyusunan Rencana Umum Energi Daerah Papua (RUED-P)</t>
  </si>
  <si>
    <t>Program Penelitian dan Pengembangan Balai Latihan dan Laboratorium Pertambangan</t>
  </si>
  <si>
    <t>Pendidikan dan Pelatihan Teknis Geologi, Tambang dan Energi Bagi Aparat, Mahasiswa dan SMK</t>
  </si>
  <si>
    <t>Pengolahan percontohan air bersih</t>
  </si>
  <si>
    <t>Program pengawasan penyediaan dan pendistribusian bahan bakar minyak (BBM) dan bahan bakar gas (BBG)</t>
  </si>
  <si>
    <t>Kegiatan pengawasan atas penyelenggaraan BBM dan BBG di Papua</t>
  </si>
  <si>
    <t>Studi kelayakan pembangunan Depot BBM</t>
  </si>
  <si>
    <t>Rapat Koordinasi Pembangunan Infrastruktur</t>
  </si>
  <si>
    <t>Penyusunan Roadmap dan Indikator Pembangunan Infrastruktur Otsus Provinsi Papua</t>
  </si>
  <si>
    <t>Belanja tidak langsung</t>
  </si>
  <si>
    <t>Belanja Bantuan Keuangan kepada Provinsi/Kabupaten/Kota, Pemerintahan Kampung dan Partai Politik</t>
  </si>
  <si>
    <t xml:space="preserve">JUMLAH  </t>
  </si>
  <si>
    <t>+</t>
  </si>
  <si>
    <t>PROGRAM PENINGKATAN SARANA DAN PRASARANA OLAHRAGA</t>
  </si>
  <si>
    <t>PENINGKATAN PEMBANGUNAN SARANA DAN PRASARANA OLAHRAGA</t>
  </si>
  <si>
    <t>PEMBERIAN DUKUNGAN, PENGHARGAAN DAN KERJASAMA DI BIDANG BUDAYA</t>
  </si>
  <si>
    <t>Program  Pengelolaan Keragaman budaya</t>
  </si>
  <si>
    <t>sesuaikan dengan alokasi pendidikan sesuai Laporan Tabel A.8 saat penyampaian Laporan Otsus Tahap III 2018 (Jika Data memang benar, jelaskan alasan berubah disum double)</t>
  </si>
  <si>
    <t>untuk mimika pada tahap pertama ada   dan II double sum sehingga pagunya jadi 17 sebearnya Rp15,143,429,250</t>
  </si>
  <si>
    <t>PEMBERIAN JAMINAN HIDUP BAGI MASYARAKAT KOMUNITAS ADAT TERPENCIL (KAT) DAN PENYANDANG MASALAH KESEJAHTERAAN SOSIAL (PMKS)</t>
  </si>
  <si>
    <t>PENYEDIAAN PELAYANAN KB DAN ALAT KONTRASEPSI BAGI KELUARGA MISKIN</t>
  </si>
  <si>
    <t>PENDAMPINGAN PADA KELOMPOK NELAYAN PERIKANAN TANGKAP OAP</t>
  </si>
  <si>
    <t>PENGEMBANGAN BIBIT IKAN UNGGUL</t>
  </si>
  <si>
    <t>PENINGKATAN KUALITAS MANAJEMEN UKM</t>
  </si>
  <si>
    <t xml:space="preserve">Tabel A.10  </t>
  </si>
  <si>
    <t>PROSENTASE ALOKASI   ANGGARAN             (%)</t>
  </si>
  <si>
    <t>REALISASI ANGGARAN (Rp.)</t>
  </si>
  <si>
    <t>PROSENTASE REALISASI ANGGARAN    (%)</t>
  </si>
  <si>
    <t>CAPAIAN OUTPUT              (%)</t>
  </si>
  <si>
    <t>Pembangunan Jalan Burmeso - Sikari (119)</t>
  </si>
  <si>
    <t>Pembangunan Jalan Nume - Tiom</t>
  </si>
  <si>
    <t>Pembangunan Jalan Mamit -Umagi</t>
  </si>
  <si>
    <t>Pembangunan Jalan Arso XIV (Keerom) - Sawia - Kwarja (114) 60 Km</t>
  </si>
  <si>
    <t>Pembangunan Jembatan Liba Kampung Harapan Dalam (PON XX)</t>
  </si>
  <si>
    <t>Pembangunan Jalan dan Jembatan Prov Papua</t>
  </si>
  <si>
    <t>Program Pembangunan saluran drainase/gorong-gorong</t>
  </si>
  <si>
    <t>Pembangunan Drainase di Provinsi Papua</t>
  </si>
  <si>
    <t>Program Pembangunan turap/talud/brojong</t>
  </si>
  <si>
    <t>Pembangunan Talud Permukiman di Kota Jayapura</t>
  </si>
  <si>
    <t>Pemeliharaan Jalan Wardo - Duber (134) 37,96 Km</t>
  </si>
  <si>
    <t>Perencanaan Infrastruktur Air Baku di Provinsi Papua</t>
  </si>
  <si>
    <t>Pembangunan Jaringan Air Bersih di Kabupaten Jayapura</t>
  </si>
  <si>
    <t>Pembangunan Jaringan Air Bersih di Kota Jayapura</t>
  </si>
  <si>
    <t>Pembangunan Jaringan Air Bersih di Kabupaten Biak Numfor</t>
  </si>
  <si>
    <t>Pembangunan Jaringan Air Bersih di Kabupaten Jayawijaya</t>
  </si>
  <si>
    <t>Pembangunan prasarana pengaman pantai</t>
  </si>
  <si>
    <t>Perencanaan Pengendalian banjir</t>
  </si>
  <si>
    <t>Pembangunan Pengendali Banjir Sungai Uwe</t>
  </si>
  <si>
    <t>Pembangunan Pengendali Banjir Kali Entrop</t>
  </si>
  <si>
    <t>Perencanaan Pembangunan Pengaman Pantai</t>
  </si>
  <si>
    <t xml:space="preserve"> Pembangunan Prasarana Pengendali Banjir Makanuay (Mendukung PON)</t>
  </si>
  <si>
    <t>Penataan Kawasan Wisata Pantai Dok II Kota Jayapura</t>
  </si>
  <si>
    <t>Pemeliharaan Sarana Prasarana Lapangan Olahraga Mandala</t>
  </si>
  <si>
    <t>Penataan Kawasan Patung Tuhan Yesus</t>
  </si>
  <si>
    <t>Penataan Kawasan Wisata di Kabupaten Mimika (menunjang PON)</t>
  </si>
  <si>
    <t>Penataan Kawasan Wisata di Kabupaten Jayawijaya</t>
  </si>
  <si>
    <t>Penataan Kawasan Lingkungan di Provinsi Papua</t>
  </si>
  <si>
    <t>Rehabilitasi stadion katalpal</t>
  </si>
  <si>
    <t>Penyelesaian Hutang (Kewajiban)</t>
  </si>
  <si>
    <t>Peningkatan Jalan Kuprik - Jagebob - Erambu (183)</t>
  </si>
  <si>
    <t>Peningkatan Jalan  Hamadi - Entrop (102)</t>
  </si>
  <si>
    <t>Peningkatan Jalan  Tiom, (Lanny Jaya) - Illu ( Puncak Jaya), (163)</t>
  </si>
  <si>
    <t>Peningkatan Jalan Sisingamangaraja 2 Jalur</t>
  </si>
  <si>
    <t>Peningkatan Jalan Sewan - Petam</t>
  </si>
  <si>
    <t>Peningkatan Jalan Sultan Peternakan (Mendukung PON XX)</t>
  </si>
  <si>
    <t xml:space="preserve">Peningkatan Jalan Taja - SP V - Kwarja </t>
  </si>
  <si>
    <t>Peningkatan Jalan Masuk Stadion Katapal (PON XX)</t>
  </si>
  <si>
    <t>Peningkatan Jalan Diponegoro (PON XX)</t>
  </si>
  <si>
    <t>Peningkatan Jalan DI Panjaitan (PON XX)</t>
  </si>
  <si>
    <t xml:space="preserve">Peningkatan Jalan dan Jembatan di Prov. Papua </t>
  </si>
  <si>
    <t>Koordinasi dan Perencanaan master.program Infrastruktur Jalan dan Jembatan</t>
  </si>
  <si>
    <t xml:space="preserve">Program Pembinaan dan Pengembangan Konstruksi </t>
  </si>
  <si>
    <t>Monitoring dan Pengendalian Teknis bidang ke-PU-an</t>
  </si>
  <si>
    <t>Pembinaan usaha jasa konstruksi pengusaha asli Papua</t>
  </si>
  <si>
    <t>Core Team Pengawasan Teknis Bidang Ke-PU-An</t>
  </si>
  <si>
    <t>Penyusunan Basic dan Unit Price Bidang Ke PU-an</t>
  </si>
  <si>
    <t>Kalibrasi Peralatan UPTD Balai Pengujian PU</t>
  </si>
  <si>
    <t>Penelitian Material Infrastruktur Bidang Ke-PU-an</t>
  </si>
  <si>
    <t>Pemeliharaan Peralatan Kegiatan UPTD Pengujian Dinas PU Provinsi Papua</t>
  </si>
  <si>
    <t>Pengadaan Peralatan Penunjang Jalan dan Jembatan</t>
  </si>
  <si>
    <t>Pengujian Kualitas Pekerjaan Konstruksi Bidang Ke-PU-an</t>
  </si>
  <si>
    <t>Survey dan Pemetaan Quarry di Provinsi Papua</t>
  </si>
  <si>
    <t>Sertifikasi Tenaga Ahli Konstruksi bagi OAP</t>
  </si>
  <si>
    <t>Persiapan Akreditaasi Laboratorium</t>
  </si>
  <si>
    <t>Penyusunan RTT Sisi Udara dan Sisi Darat Pembangunan Bandar Udara Fawi di Kabupaten Puncak Jaya</t>
  </si>
  <si>
    <t>Studi Pemilihan Lokasi dan Kelayakan Pelabuhan Perintis</t>
  </si>
  <si>
    <t>Penyusunan Masterplan Angkutan Penunjang PON</t>
  </si>
  <si>
    <t>Program Rehabilitasi dan Pemeliharaan Prasarana dan Fasilitas LLAJ</t>
  </si>
  <si>
    <t>Rehabilitasi/Pemeliharaan Lampu APILL</t>
  </si>
  <si>
    <t>Pengadaan Angkutan Umum</t>
  </si>
  <si>
    <t>Pembangunan Bandar Udara Fawi di Kabupaten Puncak Jaya</t>
  </si>
  <si>
    <t>Pembangunan Terminal Penumpang Tipe B di Kabupaten Nabire</t>
  </si>
  <si>
    <t>Pengadaan Speed Boat dalam rangka pengawasan dan pengendalian transportasi laut</t>
  </si>
  <si>
    <t>Pengadaan rambu-rambu lalu lintas</t>
  </si>
  <si>
    <t>Pengadaan marka jalan</t>
  </si>
  <si>
    <t>Pengadaan dan Pemasangan Repiter Alat Komunikasi HT</t>
  </si>
  <si>
    <t>Pengadaan Kendaraan Operasional Hidrolik</t>
  </si>
  <si>
    <t>Pengadaan Kendaraan Roda 4 (empat) untuk Pengawasan LLAJ</t>
  </si>
  <si>
    <t>Pemasangan Guardrail</t>
  </si>
  <si>
    <t>Survey Data Kendaraan dan Fasilitas Keselamatan Jalan di Provinsi Papua</t>
  </si>
  <si>
    <t>Pengadaan Kendaraan Roda 2 Patroli</t>
  </si>
  <si>
    <t>Program peningkatan kelaikan pengoperasian kendaraan bermotor</t>
  </si>
  <si>
    <t>Penyusunan PEP RAD-GRK dan Inventarisasi Emisi GRK sektor Transportasi</t>
  </si>
  <si>
    <t>Pembangunan Command Center PON XX</t>
  </si>
  <si>
    <t>Pembangunan sistem aplikasi penyelenggaraan PON XX</t>
  </si>
  <si>
    <t>Peningkatan pembangunan sarana dan prasarana olahraga</t>
  </si>
  <si>
    <t>Rehabilitasi dan Renovasi Sarana dan Prasarana olahraga</t>
  </si>
  <si>
    <t>Pembangunan Gedung Olahraga STT GIDI di Kabupaten Jayapura</t>
  </si>
  <si>
    <t>Rehabilitasi Gedung Olahraga Cenderawasih</t>
  </si>
  <si>
    <t>Pembangunan Gudang Peralatan Olahraga</t>
  </si>
  <si>
    <t>Pembangunan Arena Menembak</t>
  </si>
  <si>
    <t>Pembangunan Lapangan Tenis</t>
  </si>
  <si>
    <t>Non Kegiatan</t>
  </si>
  <si>
    <t xml:space="preserve">Tabel A.4  </t>
  </si>
  <si>
    <t>PROSENTASE (%)</t>
  </si>
  <si>
    <t>ALOKASI ANGGARAN  (Rp.)</t>
  </si>
  <si>
    <t>REALISASI ANGGARAN             (Rp.)</t>
  </si>
  <si>
    <t>PROSENTASE REALISASI ANGGARAN               (%)</t>
  </si>
  <si>
    <t>CAPAIAN OUTPUT                    ( %)</t>
  </si>
  <si>
    <t>Pembinaan Siswa SMANKOR Jayapura Mengikuti Kejuaraan</t>
  </si>
  <si>
    <t xml:space="preserve">Penyusunan Kajian Prosedur dan dokumen ekspor dan </t>
  </si>
  <si>
    <t>Lomba Debat Bahasa Inggris, Bahasa Indonesia dan Bahasa Jerman</t>
  </si>
  <si>
    <t>DAK Reguler SMA ( Utang TA 2017)</t>
  </si>
  <si>
    <t>Lomba Kompetensi Siswa SMA</t>
  </si>
  <si>
    <t>Biaya Operasi Sekolah</t>
  </si>
  <si>
    <t>Fasilitasi pembiayaan akreditasi sekolah SMA dan SMK</t>
  </si>
  <si>
    <t>Fasilitasi lomba O2SN SD tk Provinsi</t>
  </si>
  <si>
    <t>Pengadaan dan Pembelian Buku Panduan Kurikulum Muatan Lokal</t>
  </si>
  <si>
    <t>Lomba O2SN SMK</t>
  </si>
  <si>
    <t>Lomba FLS2N SMK</t>
  </si>
  <si>
    <t>Praktek kerja industri siswa</t>
  </si>
  <si>
    <t>Pengadaan peralatan Praktek SMK</t>
  </si>
  <si>
    <t>Penyediaan Biaya Aplikasi Travel SMK Pariwisata di 6 Sekolah</t>
  </si>
  <si>
    <t>Pengembangan unit Produksi untuk SMK</t>
  </si>
  <si>
    <t>Pengiriman dan Relokasi Obat buffer stok dan program provinsi ke Kab dan 14 titik terisolir</t>
  </si>
  <si>
    <t>Peningkatan Kapasitas SDM Kefarmasian di Apotek</t>
  </si>
  <si>
    <t xml:space="preserve">Peningkatan pelayanan dan penanggulangan masalah kesehatan </t>
  </si>
  <si>
    <t>penyediaan biaya operasional dan pemeliharaan</t>
  </si>
  <si>
    <t>Pertemuan Koordinasi Akreditasi FKTP</t>
  </si>
  <si>
    <t>Monitoring pelayanan kesehatan primer</t>
  </si>
  <si>
    <t>Peningkatan pengawasan keamanan pangan dan bahan berbahaya</t>
  </si>
  <si>
    <t>Pengembangan Obat Asli Daerah</t>
  </si>
  <si>
    <t xml:space="preserve"> Penilaian Pemanfaatan TOGA</t>
  </si>
  <si>
    <t xml:space="preserve">ADMINISTRASI KEGIATAN SP3T </t>
  </si>
  <si>
    <t>Penanggulangan penyakit TBC</t>
  </si>
  <si>
    <t xml:space="preserve">PMT 1000 hari Pertama Kelahiran </t>
  </si>
  <si>
    <t>Monitoring evaluasi bimbingan tehnis dan validasi data dari  pengelola program Provinsi ke Kabupaten/Kota</t>
  </si>
  <si>
    <t>Lokakarya Penyusunan Program</t>
  </si>
  <si>
    <t>Program upaya kesehatan perorangan</t>
  </si>
  <si>
    <t>Pelaksanaan Kartu Papua Sehat</t>
  </si>
  <si>
    <t>Pembinaan dan Pengawasan Mutu Tenaga Kesehatan</t>
  </si>
  <si>
    <t>Pelatihan analis kebutuhan diklat di regional papua</t>
  </si>
  <si>
    <t>Training Need Asessment ( TNA )</t>
  </si>
  <si>
    <t>Pelatihan Master OF Training</t>
  </si>
  <si>
    <t>Pelatihan BTLS</t>
  </si>
  <si>
    <t>Pelatihan ATLS</t>
  </si>
  <si>
    <t>PELATIHAN AKREDITASI PELATIHAN BAGI PENYELENGGARA PELATIHAN</t>
  </si>
  <si>
    <t>Pengadaan Peralatan Laboratorium</t>
  </si>
  <si>
    <t>Peningkatan kapasitas tenaga Laboratorium</t>
  </si>
  <si>
    <t>Pembinaan Persiapan Akreditasi Rumah Sakit</t>
  </si>
  <si>
    <t>Pertemuan Evaluasi dan Singkronisasi Pelayanan Kesehatan Rujukan</t>
  </si>
  <si>
    <t>Monitoring dan Evaluasi Pelaksanaan ASPAK dan SIRS Online di Kab/Kota</t>
  </si>
  <si>
    <t xml:space="preserve">   Sosialisasi HAKI kepada Usaha Mikro Kecil Menengah</t>
  </si>
  <si>
    <t>Pengawasan dan Penilaian Kesehatan KSP/USP Koperasi</t>
  </si>
  <si>
    <t>Bimtek Pembuatan Laporan Keuangan bagi Koperasi</t>
  </si>
  <si>
    <t>Memfasilitasi Kemudahan Formalisasi Usaha Kecil Menengah menjadi Koperasi</t>
  </si>
  <si>
    <t>Monitoring dan Pengawasan Koperasi Aktif</t>
  </si>
  <si>
    <t>Dinas Penanaman Modal dan Pelayanan Terpadu Satu Pintu</t>
  </si>
  <si>
    <t>Peningkatan kegiatan pemantauan, pembinaan dan pengawasan pelaksanaan penanaman modal</t>
  </si>
  <si>
    <t>Penyelenggaraanpameran investasi</t>
  </si>
  <si>
    <t>Program Peningkatan Iklim Investasi dan Realisasi Investasi</t>
  </si>
  <si>
    <t>Penyederhanaan prosedur perijinan dan peningkatan pelayanan penanaman modal</t>
  </si>
  <si>
    <t xml:space="preserve">Fasilitasi Penyelesaian Permasalahan Perijinan dan Non Peijinan diBidang Penanaman Modal </t>
  </si>
  <si>
    <t>Pengembangan Calon Induk Ikan Unggul</t>
  </si>
  <si>
    <t>Program Pengembangan dan Peningkatan Produksi Perikanan Tangkap</t>
  </si>
  <si>
    <t>Monitoring PPI Se- Papua</t>
  </si>
  <si>
    <t>Ekspose dan Promosi Investasi Kelautan dan Perikanan</t>
  </si>
  <si>
    <t>Lomba Masak Serba Ikan Tk. Provinsi dan Nasional</t>
  </si>
  <si>
    <t>Program  Optimalisasi dan Pembangunan Prasarana Perikanan Tangkap</t>
  </si>
  <si>
    <t>Penunjang Kegiatan  PPI di  Kab/Kota</t>
  </si>
  <si>
    <t>Optimalisasi Fungsi Balai Benih Ikan Partai (BBIP) Bosnik Biak</t>
  </si>
  <si>
    <t>Optimalisasi Fungsi dan Pelayanan BPPMHP Merauke</t>
  </si>
  <si>
    <t>Optimalisasi Fungsi dan Pelayanan BPPMHP Biak</t>
  </si>
  <si>
    <t>Optimalisasi Fungsi dan Pelayanan BPPMHP Jayapura</t>
  </si>
  <si>
    <t>Percepatan Penyusunan Rencana Zonasi Wilayah Pesisir dan Pulau-pulau kecil</t>
  </si>
  <si>
    <t>Pembangunan Kawasan Wisata (Tourism Resort)</t>
  </si>
  <si>
    <t>Pengadaan Peralatan Ruang Kreatif</t>
  </si>
  <si>
    <t>Pelatihan pengembangan SDM kepariwisataan</t>
  </si>
  <si>
    <t>Pengembangan pertanian pada lahan kering</t>
  </si>
  <si>
    <t>Pengadaan sarana dan prasaranan teknologi pertanian/perkebunan tepat guna</t>
  </si>
  <si>
    <t>Program Peningkatan Kelembagaan Penyuluh</t>
  </si>
  <si>
    <t>Pendataan Kelembagaan Penyuluh</t>
  </si>
  <si>
    <t>Peningkatan peran serta masyarakat dalam rehabilitasi hutan dan lahan</t>
  </si>
  <si>
    <t>Pengembangan Persemaian Tanaman hutan</t>
  </si>
  <si>
    <t>Pengelolaan wisata alam di kawasan konservasi</t>
  </si>
  <si>
    <t>Perlindungan Hutan dan Pengelolaan Kawasan Konservasi</t>
  </si>
  <si>
    <t>Pengembangan Wisata di TBTA Biak</t>
  </si>
  <si>
    <t>Program Pengelolaan hutan masyarakat hukum adat</t>
  </si>
  <si>
    <t>Pengembangan Industri Kayu Masyarakat Hukum Adat.</t>
  </si>
  <si>
    <t>Program pengawasan dan penertiban kegiatan rakyat yang berpotensi merusak lingkungan</t>
  </si>
  <si>
    <t>Pengawasan penertiban kegiatan pertambangan rakyat</t>
  </si>
  <si>
    <t>Survey Geologi Lingkungan dan Mitigasi Bencana Geologi</t>
  </si>
  <si>
    <t>Pengawasan Keselamatan dan Lindungan Lingkungan Minyak dan Gas</t>
  </si>
  <si>
    <t/>
  </si>
  <si>
    <t>Peningkatan pengawasan peredaran barang dan jasa</t>
  </si>
  <si>
    <t>Peningkatan sistem dan jaringan informasi perdagangan</t>
  </si>
  <si>
    <t>Pemberian fasilitas kemudahan akses perbankan bagi industri kecil dan menengah</t>
  </si>
  <si>
    <t>Program Penataan Struktur Industri</t>
  </si>
  <si>
    <t>Penyediaan sarana maupun prasarana klaster industri</t>
  </si>
  <si>
    <t>Perencanaan dan Pembinaan Diklat Aparatur</t>
  </si>
  <si>
    <t>Pengembangan Standarisasi dan Sertifikasi Kompetensi ASN</t>
  </si>
  <si>
    <t>Program  Perencanaan Pembangunan Daerah</t>
  </si>
  <si>
    <t>Pembahasan URD/RD Otsus Provinsi Papua</t>
  </si>
  <si>
    <t>Pelaksanaan Monitoring Kolaborasi Kegiatan Pembangunan OTSUS dan APBD Provinsi Papua</t>
  </si>
  <si>
    <t>pelaksanaan pengendalian program dan kegiatan APBD Provinsi Papua</t>
  </si>
  <si>
    <t>Program  Perencanaan Sosial dan Budaya</t>
  </si>
  <si>
    <t>Fasilitasi dan Koordinasi Tujuan Pembangunan Berkelanjutan (SDGS)</t>
  </si>
  <si>
    <t>Penyelenggaraan Seleksi Pendidikan dan Latihan Aparatur</t>
  </si>
  <si>
    <t>Penyelenggaraan Ujian Dinas</t>
  </si>
  <si>
    <t>URUSAN BERSAMA</t>
  </si>
  <si>
    <t>BELANJA LANGSUNG</t>
  </si>
  <si>
    <t>Pembangunan Sekolah Unggulan Berasrama</t>
  </si>
  <si>
    <t>Honor Guru Kontrak SMA/SMK/SLB/PKLK</t>
  </si>
  <si>
    <t>pelatihan penyusunan rencana kerja anggaran sekolah (RKAS) SMA</t>
  </si>
  <si>
    <t>Penyediaan Bantuan Biaya Musyarawarah Kerja Kepala Sekolah (MKKS) SMA di lima wilayah adat</t>
  </si>
  <si>
    <t>Penyediaan Bantuan Biaya MGMP (Musyawarah Guru Mata Pelajaran)</t>
  </si>
  <si>
    <t>Pembekalan dan Pengiriman Guru, Kepala Sekolah, Pengawas dan Tenaga Kependidikan Lainnya Yang Berprestasi dan Berdedikasi</t>
  </si>
  <si>
    <t>Penguatan dan Sertifikasi Guru SMA/SMK/PKLK</t>
  </si>
  <si>
    <t xml:space="preserve">Penyediaan Tenaga Guru </t>
  </si>
  <si>
    <t>Pengembangan Sistem Pengendalian Disiplin dan Kinerja Guru TPP</t>
  </si>
  <si>
    <t>Bimbingan Tehnis Operator Dapodik/UNPTK/SIMTUNJANGAN</t>
  </si>
  <si>
    <t>Pemetaan Guru dan Tenaga Kependidikan SMA/SMK/PKLK</t>
  </si>
  <si>
    <t>Pelaksanaan evaluasi hasil kinerja bidang pendidikan</t>
  </si>
  <si>
    <t>Pelaksanaan kerjasama secara kelembagaan di bidang pendidikan</t>
  </si>
  <si>
    <t>penyediaan biaya operasional PAUD bahasa ibu Paud Model di 10 lembaga</t>
  </si>
  <si>
    <t>pengadaan peralatan latihan dan bertanding 8 CABOR untuk siswa SMANKOR</t>
  </si>
  <si>
    <t>Pengembangan Pendidikan Khusus dan Layanan Khusus</t>
  </si>
  <si>
    <t>Penerapan dan Pelatihan MBS SMK</t>
  </si>
  <si>
    <t>Lomba Adiwiyata Mandala SMK</t>
  </si>
  <si>
    <t>pelatihan penyusunan rencana pelaksanaan pembelajaran (RPP) SMK</t>
  </si>
  <si>
    <t>pelatihan penyusunan rencana kerja anggaran sekolah (RKAS) SMK</t>
  </si>
  <si>
    <t>Pertemuan Rapat kerja Kesehatan Provinsi papua</t>
  </si>
  <si>
    <t>Pengembangan fasyankes di 5 (lima ) regional dukungan pelaksanaan KPS</t>
  </si>
  <si>
    <t>Pelayanan kesehatan daerah terpencil</t>
  </si>
  <si>
    <t>Penelitian Bidang Kesehatan</t>
  </si>
  <si>
    <t>Penyusunan standar pelayanan kesehatan</t>
  </si>
  <si>
    <t>Perijinan Operasional Sanitasi Incenerator dan IPAL</t>
  </si>
  <si>
    <t>Pengadaan mebeleur rumah sakit</t>
  </si>
  <si>
    <t>Pengembangan tipe rumah sakit</t>
  </si>
  <si>
    <t>Pengadaan Peralatan Gedung/Kantor Rumah Sakit</t>
  </si>
  <si>
    <t>Pemeliharaan rutin/berkala rumah sakit</t>
  </si>
  <si>
    <t>Evaluasi Program Akhir Tahun</t>
  </si>
  <si>
    <t>Peningkatan Jaminan Pelayanan Kesehatan Masyarakat Miskin Papua</t>
  </si>
  <si>
    <t>pelaksanaan Kartu Papua Sehat (KPS) Provinsi Papua</t>
  </si>
  <si>
    <t>Pemeliharaan rutin/berkala instalasi pengolahan limbah rumah sakit</t>
  </si>
  <si>
    <t>Badan Kesatuan Bangsa dan Politik</t>
  </si>
  <si>
    <t>Program Pendidikan Politik Masyarakat</t>
  </si>
  <si>
    <t>Pengangkatan 14 Kursi Anggota DPRP</t>
  </si>
  <si>
    <t>Bangun Generasi dan Keluarga Papua Sejahtera (BANGGA PAPUA)</t>
  </si>
  <si>
    <t>Pengadaan Media Center Utama PON XX</t>
  </si>
  <si>
    <t>Layanan Media PON XX</t>
  </si>
  <si>
    <t>Program Pengelolaan dan Pengembangan Persandian Daerah</t>
  </si>
  <si>
    <t>Fasilitasi Kontra Penginderaan</t>
  </si>
  <si>
    <t>Pelatihan Keterampilan Produksi Handycraft dan Souvenir</t>
  </si>
  <si>
    <t>Penguatan Usaha Ekonomi Produktif UKM Melalui Sarana Produksi Berbasis Komoditi Unggulan Daerah</t>
  </si>
  <si>
    <t>Peningkatan Usaha UMKM Melalui Jaringan Kemitraan</t>
  </si>
  <si>
    <t>Program peningkatan peran serta kepemudaan</t>
  </si>
  <si>
    <t>Pertukaran Pemuda antar Negara dan Provinsi</t>
  </si>
  <si>
    <t>Pembinaan PASKIBRAKA Provinsi dan Nasional</t>
  </si>
  <si>
    <t>Program peningkatan upaya penumbuhan kewirausahaan dan kecakapan hidup pemuda</t>
  </si>
  <si>
    <t>Pengembangan Kewirausahaan Pemuda</t>
  </si>
  <si>
    <t>Porgram Pengembangan Kebijakan dan Manajemen Olah Raga</t>
  </si>
  <si>
    <t>Pembinaan manajemen organisasi olahraga</t>
  </si>
  <si>
    <t>Pendataan dan Pelaporan Keolahragaan dan Kepemudaan</t>
  </si>
  <si>
    <t>Forum OPD</t>
  </si>
  <si>
    <t>Pelaksanaan identifikasi dan pengembangan olahraga unggulan daerah</t>
  </si>
  <si>
    <t>Pelaksanaan Sosialisasi PON XX 2020</t>
  </si>
  <si>
    <t>Pembangunan Gedung Olahraga Volly</t>
  </si>
  <si>
    <t>Pengadaan Gudang Peralatan di Kota Jayapura</t>
  </si>
  <si>
    <t>Program Penyelenggaraan Kompetisi/Pekan Olahraga/Kejuaraan OLahraga</t>
  </si>
  <si>
    <t>Penyelenggaraan POPNAS dan PEPARPENAS</t>
  </si>
  <si>
    <t>Penyelenggaraan Test Event PON XX Tahun 2020</t>
  </si>
  <si>
    <t>Program Peningkatan Koordinasi dan Sinergitas untuk Penyelenggaraan PON XX/2020</t>
  </si>
  <si>
    <t>Pembinaan dan Peningkatan Mutu SDM Pertandingan Pendukung PON XX/2020</t>
  </si>
  <si>
    <t>Pembinaan dan Peningkatan Mutu SDM Non Pertandingan Pendukung PON XX/2020</t>
  </si>
  <si>
    <t>Rapat Koordinasi dan Konsultasi Teknis Kesiapan Penyelenggaraan PON XX/2020 di 5 Cluster</t>
  </si>
  <si>
    <t xml:space="preserve">Program mendorong partisipasi dan peran aktif pemuda dalam berbagai bidang pembangunan </t>
  </si>
  <si>
    <t>Upacara Peringatan Hari Olahraga Nasional (HAORNAS) dan Hari Sumpah Pemuda Tingkat Provinsi Papua</t>
  </si>
  <si>
    <t>Program Pembinaan Atlit Muda dan OLahraga Prestasi</t>
  </si>
  <si>
    <t>Pembinaan dan Peningkatan Prestasi Atlet pada Event POPNAS dan PEPARPENAS</t>
  </si>
  <si>
    <t>Program Persiapan Penyelenggaraan PON XX 2020</t>
  </si>
  <si>
    <t>Sosialisasi Logo, Maskot dan Jingle PON XX Tahun 2020</t>
  </si>
  <si>
    <t>Penyiapan Logo, Mascot dan Jingle PEPARNAS XVI Tahun 2020</t>
  </si>
  <si>
    <t>Penyediaan Jasa Konsultan Sponsor PON XX Tahun 2020 Papua</t>
  </si>
  <si>
    <t>Penyediaan Jasa Client Service PON XX Tahun 2020 Papua</t>
  </si>
  <si>
    <t>Penyediaan Digital Campaign Sosialisasi PON XX Tahun 2020 Papua</t>
  </si>
  <si>
    <t>Penyediaan Smart Office PON XX Tahun 2020 Papua</t>
  </si>
  <si>
    <t>Koordinasi Penyiapan Venues dan Persiapan Penyelenggaraan PON XX</t>
  </si>
  <si>
    <t>Pengadaan Peralatan dan Perlengkapan Cabang Olahraga POPNAS Tahun 2019</t>
  </si>
  <si>
    <t>Pengadaan Peralatan dan Perlengkapan Cabang Olahraga PEPARPENAS 2019</t>
  </si>
  <si>
    <t>Motorisasi perahu nelayan /armada kapal kecil</t>
  </si>
  <si>
    <t>Program Pengembangan Data dan Informasi</t>
  </si>
  <si>
    <t>Penghimpunan data statistik perikanan dan kelautan</t>
  </si>
  <si>
    <t>Pembangunan dan Pengembangan BBIS (DAK)</t>
  </si>
  <si>
    <t>Pemberdayaan Masyarakat Pulau-Pulau Terluar</t>
  </si>
  <si>
    <t>Pengadaan Bahan Promosi</t>
  </si>
  <si>
    <t>Survey dan data penyusunan data analisa pasar</t>
  </si>
  <si>
    <t>TOT Analisa Pasar Wisata</t>
  </si>
  <si>
    <t>Pelatihan Pengelola Daya Tarik Wisata (DTW)</t>
  </si>
  <si>
    <t>Pelatihan media kreatif (fotografi dan animasi)</t>
  </si>
  <si>
    <t>Pameran pekan budaya dan seni kreatif</t>
  </si>
  <si>
    <t>Pelatihan sertifikasi SDM bagi Karyawan hotel dan restoran</t>
  </si>
  <si>
    <t>Pelatihan SDM bagi pemandu pariwisata</t>
  </si>
  <si>
    <t>Peningkatan Sarana Prasarana Diklat Pertanian</t>
  </si>
  <si>
    <t>Peningkatan SDM Aparatur dan Non Aparatur Sekolah Pertanian</t>
  </si>
  <si>
    <t>Peningkatan Sarana Prasarana Sekolah Pertanian</t>
  </si>
  <si>
    <t>Pengembangan agribisnis pertenakan</t>
  </si>
  <si>
    <t>Pengembangan hasil hutan non-kayu</t>
  </si>
  <si>
    <t>Pembinaan dan pengendalian pelaksanaan Rehabilitasi Hutan dan Lahan</t>
  </si>
  <si>
    <t>Pengembangan Penyuluhan kehutanan</t>
  </si>
  <si>
    <t>Pembinaan Masyarakat Adat di dalam Kawasan Konservasi</t>
  </si>
  <si>
    <t>Pengembangan sakawana bakti</t>
  </si>
  <si>
    <t>Membangun jejaring dengan eksportir</t>
  </si>
  <si>
    <t>Pelaksanaan pasar murah di lima wilayah adat</t>
  </si>
  <si>
    <t>pemberian kemudahan ijin usaha industri kecil menengah</t>
  </si>
  <si>
    <t>Rehabilitasi sedang/berat gedung kantor</t>
  </si>
  <si>
    <t>Pendampingan Pengusaha OAP</t>
  </si>
  <si>
    <t>Fasilitasi, Pembangunan dan Pembinaan Bidang Pendidikan, Kesehatan dan Ekonomi Umat Katolik Secara Terintregasi pada Keuskupan di Provinsi Papua</t>
  </si>
  <si>
    <t>Fasilitasi, Pembangunan dan Pembinaan Bidang Pendidikan, Kesehatan dan Ekonomi Umat Babtis secara Terintregasi pada Gereja Babtis di Provinsi Papua</t>
  </si>
  <si>
    <t>Fasilitasi, Pebangunan dan Pembinaan Bidang Pendidikan, Kesehatan dan Ekonomi Umat GPDI secara Terintregasi di Sinode GPDI di Indonesia Provinsi Papua</t>
  </si>
  <si>
    <t>Penyediaan jasa surat menyurat</t>
  </si>
  <si>
    <t>Penyediaan jasa pemeliharaan dan perizinan kendaraan dinas/operasional</t>
  </si>
  <si>
    <t>Penyediaan barang cetakan dan penggandaan</t>
  </si>
  <si>
    <t>Rapat-rapat kordinasi dan konsultasi ke luar daerah</t>
  </si>
  <si>
    <t>Pengadaan mobil jabatan</t>
  </si>
  <si>
    <t>Pengadaan perlengkapan gedung kantor</t>
  </si>
  <si>
    <t>Pengadaan mebeleur</t>
  </si>
  <si>
    <t>Pemeliharaan rutin/berkala rumah dinas</t>
  </si>
  <si>
    <t>Pemeliharaan rutin/berkala perlengkapan gedung kantor</t>
  </si>
  <si>
    <t>Pemeliharaan rutin/berkala mebeleur</t>
  </si>
  <si>
    <t>Pendampingan dan Layanan Pengguna SPSE (VENDOR)</t>
  </si>
  <si>
    <t>Pengembangan Sistem dan Kelembagaan Generasi Emas dan Keluarga Sejahtera (BANGGA PAPUA)</t>
  </si>
  <si>
    <t>Kegiatan Evaluasi Penyelenggaraan Pelaksanaan Gerbangmas Hasrat Papua</t>
  </si>
  <si>
    <t>Program  Perencanaan Pembangunan Ekonomi</t>
  </si>
  <si>
    <t>Kegiatan Evaluasi Penyelenggaraan Pelaksanaan PROSPEK</t>
  </si>
  <si>
    <t xml:space="preserve"> TAHUN ANGGARAN 2019</t>
  </si>
  <si>
    <t xml:space="preserve">Promosi atas hasil produksi peternakan unggulan daerah. </t>
  </si>
  <si>
    <t xml:space="preserve"> Penyelenggaraan promosi produk Usaha Mikro Kecil Menengah</t>
  </si>
  <si>
    <t xml:space="preserve"> Pengembangan Kebijakan dan program peningkatan ekonomi lokal</t>
  </si>
  <si>
    <t xml:space="preserve"> Sosialisasi dukungan informasi penyediaan permodalan</t>
  </si>
  <si>
    <t>PENERIMAAN  : Rp 5.850.230.158.00,00</t>
  </si>
  <si>
    <t>YANG BELUM DIJABARKAN DALAM RPOGRAM /KEGIATAN</t>
  </si>
  <si>
    <t xml:space="preserve">Belanja  Hibah </t>
  </si>
  <si>
    <t xml:space="preserve">Bantuan Pendidikan/Bea Siswa Tugas Belajar </t>
  </si>
  <si>
    <t xml:space="preserve">Tabel A.2  </t>
  </si>
  <si>
    <t>YANG BELUM DI JABARKAN DALAM PROG/KEG</t>
  </si>
  <si>
    <t>PENERIMAAN  : Rp 2.824.446.537.000</t>
  </si>
  <si>
    <t xml:space="preserve">Pendidikan (Bea Siswa Unggulan Papua dan Pendidikan Lainnya </t>
  </si>
  <si>
    <t>KPS dan Rs</t>
  </si>
  <si>
    <t>Ekonomi</t>
  </si>
  <si>
    <t>Perumahan dan Fasilitasm Umum</t>
  </si>
  <si>
    <t>Bangga Papua</t>
  </si>
  <si>
    <t>Pengalihan Kewenangan</t>
  </si>
  <si>
    <t>PON XX</t>
  </si>
  <si>
    <t>Perencanaan dan Kelmbagaan Khusus</t>
  </si>
  <si>
    <t>Keagamaan</t>
  </si>
  <si>
    <t>provinsi 20 %</t>
  </si>
  <si>
    <t>Kab/kota 80 %</t>
  </si>
  <si>
    <t>TOTAl  UB</t>
  </si>
  <si>
    <t>TOTAL</t>
  </si>
  <si>
    <t>pergub urusan bersama DI PERGUB</t>
  </si>
  <si>
    <t>Belanja Urusan Bersama  HITUNG ULANG PERGUB</t>
  </si>
  <si>
    <t>HITUNG ULANG DI PERGUB</t>
  </si>
  <si>
    <t xml:space="preserve">PAGU PERDA APBD </t>
  </si>
  <si>
    <t>SELISIH ANTARA PERGUB DAN PERDA</t>
  </si>
  <si>
    <t>IV</t>
  </si>
  <si>
    <t>RUMAS SAKIT UMUM DAERAH JAYAPURA</t>
  </si>
  <si>
    <t>RUMA SAKIT JIWA ABEPURA</t>
  </si>
  <si>
    <t>RUMAH SAKIT UMUM DAERAH ABEPURA</t>
  </si>
  <si>
    <t>BADAN KESATUAN BANGSA DAN POLITIK</t>
  </si>
  <si>
    <t>DINAS SOSIAL, KEPENDUDUKAN DAN CATATAN SIPIL</t>
  </si>
  <si>
    <t>DINAS KOPERASI, USAHA KECIL DAN MENENGAH'</t>
  </si>
  <si>
    <t>DINAS PEMUDA DAN OLAHRAGA</t>
  </si>
  <si>
    <t xml:space="preserve">DINAS KELAUTAN DAN PERIKANAN  </t>
  </si>
  <si>
    <t>DINAS TANAMAN PANGAN DAN HOLTIKULTURA</t>
  </si>
  <si>
    <t>DINAS KEHUTANAN</t>
  </si>
  <si>
    <t>DINAS PERTERNAKAN DAN KESEHATAN HEWAN</t>
  </si>
  <si>
    <t>SEKRETARIAT DAERAH</t>
  </si>
  <si>
    <t>SEKRETARIAT MAJELIS RAKYAT PAPUA</t>
  </si>
  <si>
    <t>BPKAD (BTL)</t>
  </si>
  <si>
    <t>PENERIMAAN  : Rp 5.850.230.158.000,00</t>
  </si>
  <si>
    <t>28. KABUPATEN  DEIYAI</t>
  </si>
  <si>
    <t>ALOKASI ANGGARAN                           (Rp.)</t>
  </si>
  <si>
    <t>TAHUN ANGGARAN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</si>
</sst>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.00_);_(* \(#,##0.00\);_(* &quot;-&quot;_);_(@_)"/>
    <numFmt numFmtId="167" formatCode="_(* #,##0_);_(* \(#,##0\);_(* &quot;-&quot;??_);_(@_)"/>
    <numFmt numFmtId="168" formatCode="#,##0.00_ ;\-#,##0.00\ "/>
    <numFmt numFmtId="169" formatCode="_-* #,##0.0_-;\-* #,##0.0_-;_-* &quot;-&quot;?_-;_-@_-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charset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rgb="FFFF0000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C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0000"/>
      <name val="Calibri"/>
      <family val="2"/>
    </font>
    <font>
      <b/>
      <sz val="1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6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90">
    <xf numFmtId="0" fontId="0" fillId="0" borderId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2" fillId="0" borderId="0">
      <alignment vertical="top"/>
    </xf>
    <xf numFmtId="41" fontId="3" fillId="0" borderId="0" applyFont="0" applyFill="0" applyBorder="0" applyAlignment="0" applyProtection="0"/>
    <xf numFmtId="0" fontId="12" fillId="0" borderId="0"/>
    <xf numFmtId="43" fontId="3" fillId="0" borderId="0" applyFont="0" applyFill="0" applyBorder="0" applyAlignment="0" applyProtection="0"/>
    <xf numFmtId="0" fontId="12" fillId="0" borderId="0">
      <alignment vertical="top"/>
    </xf>
    <xf numFmtId="43" fontId="26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26" fillId="0" borderId="0"/>
    <xf numFmtId="0" fontId="2" fillId="0" borderId="0"/>
    <xf numFmtId="0" fontId="26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3" fillId="0" borderId="0"/>
    <xf numFmtId="0" fontId="2" fillId="0" borderId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35" fillId="2" borderId="0" applyNumberFormat="0" applyBorder="0" applyAlignment="0" applyProtection="0"/>
    <xf numFmtId="41" fontId="10" fillId="0" borderId="0" applyFont="0" applyFill="0" applyBorder="0" applyAlignment="0" applyProtection="0"/>
    <xf numFmtId="41" fontId="36" fillId="0" borderId="0">
      <alignment vertical="top"/>
      <protection locked="0"/>
    </xf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41" fontId="36" fillId="0" borderId="0">
      <alignment vertical="top"/>
      <protection locked="0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43" fontId="26" fillId="0" borderId="0" applyFont="0" applyFill="0" applyBorder="0" applyAlignment="0" applyProtection="0"/>
    <xf numFmtId="43" fontId="36" fillId="0" borderId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>
      <alignment vertical="top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protection locked="0"/>
    </xf>
    <xf numFmtId="0" fontId="36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376">
    <xf numFmtId="0" fontId="0" fillId="0" borderId="0" xfId="0"/>
    <xf numFmtId="0" fontId="5" fillId="0" borderId="0" xfId="0" applyFont="1" applyAlignment="1">
      <alignment vertical="center"/>
    </xf>
    <xf numFmtId="0" fontId="8" fillId="3" borderId="4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3" borderId="7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166" fontId="6" fillId="0" borderId="0" xfId="2" applyNumberFormat="1" applyFont="1" applyBorder="1" applyAlignment="1">
      <alignment vertical="center"/>
    </xf>
    <xf numFmtId="166" fontId="6" fillId="3" borderId="0" xfId="2" applyNumberFormat="1" applyFont="1" applyFill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11" xfId="0" quotePrefix="1" applyFont="1" applyBorder="1" applyAlignment="1">
      <alignment horizontal="center" vertical="center"/>
    </xf>
    <xf numFmtId="0" fontId="11" fillId="0" borderId="24" xfId="0" quotePrefix="1" applyFont="1" applyBorder="1" applyAlignment="1">
      <alignment horizontal="center" vertical="center"/>
    </xf>
    <xf numFmtId="49" fontId="11" fillId="0" borderId="12" xfId="2" quotePrefix="1" applyNumberFormat="1" applyFont="1" applyBorder="1" applyAlignment="1">
      <alignment horizontal="center" vertical="center"/>
    </xf>
    <xf numFmtId="49" fontId="11" fillId="0" borderId="24" xfId="2" quotePrefix="1" applyNumberFormat="1" applyFont="1" applyBorder="1" applyAlignment="1">
      <alignment horizontal="center" vertical="center"/>
    </xf>
    <xf numFmtId="49" fontId="11" fillId="3" borderId="24" xfId="2" quotePrefix="1" applyNumberFormat="1" applyFont="1" applyFill="1" applyBorder="1" applyAlignment="1">
      <alignment horizontal="center" vertical="center"/>
    </xf>
    <xf numFmtId="0" fontId="11" fillId="0" borderId="13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left" vertical="center"/>
    </xf>
    <xf numFmtId="41" fontId="6" fillId="4" borderId="27" xfId="4" applyNumberFormat="1" applyFont="1" applyFill="1" applyBorder="1" applyAlignment="1">
      <alignment vertical="center"/>
    </xf>
    <xf numFmtId="41" fontId="6" fillId="4" borderId="28" xfId="4" applyNumberFormat="1" applyFont="1" applyFill="1" applyBorder="1" applyAlignment="1">
      <alignment vertical="center"/>
    </xf>
    <xf numFmtId="166" fontId="6" fillId="0" borderId="26" xfId="2" applyNumberFormat="1" applyFont="1" applyBorder="1" applyAlignment="1">
      <alignment vertical="center"/>
    </xf>
    <xf numFmtId="41" fontId="6" fillId="0" borderId="26" xfId="2" applyNumberFormat="1" applyFont="1" applyBorder="1" applyAlignment="1">
      <alignment vertical="center"/>
    </xf>
    <xf numFmtId="166" fontId="6" fillId="0" borderId="28" xfId="2" applyNumberFormat="1" applyFont="1" applyBorder="1" applyAlignment="1">
      <alignment vertical="center"/>
    </xf>
    <xf numFmtId="166" fontId="6" fillId="3" borderId="26" xfId="2" applyNumberFormat="1" applyFont="1" applyFill="1" applyBorder="1" applyAlignment="1">
      <alignment vertical="center"/>
    </xf>
    <xf numFmtId="166" fontId="6" fillId="0" borderId="27" xfId="2" applyNumberFormat="1" applyFont="1" applyBorder="1" applyAlignment="1">
      <alignment vertical="center"/>
    </xf>
    <xf numFmtId="0" fontId="14" fillId="4" borderId="26" xfId="0" applyFont="1" applyFill="1" applyBorder="1" applyAlignment="1">
      <alignment horizontal="left" vertical="center"/>
    </xf>
    <xf numFmtId="41" fontId="14" fillId="4" borderId="27" xfId="4" applyNumberFormat="1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left" vertical="center"/>
    </xf>
    <xf numFmtId="41" fontId="14" fillId="0" borderId="27" xfId="4" applyNumberFormat="1" applyFont="1" applyFill="1" applyBorder="1" applyAlignment="1">
      <alignment horizontal="left" vertical="center"/>
    </xf>
    <xf numFmtId="0" fontId="6" fillId="4" borderId="29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left" vertical="center"/>
    </xf>
    <xf numFmtId="41" fontId="14" fillId="4" borderId="31" xfId="4" applyNumberFormat="1" applyFont="1" applyFill="1" applyBorder="1" applyAlignment="1">
      <alignment horizontal="left" vertical="center"/>
    </xf>
    <xf numFmtId="41" fontId="6" fillId="4" borderId="32" xfId="4" applyNumberFormat="1" applyFont="1" applyFill="1" applyBorder="1" applyAlignment="1">
      <alignment vertical="center"/>
    </xf>
    <xf numFmtId="166" fontId="6" fillId="0" borderId="30" xfId="2" applyNumberFormat="1" applyFont="1" applyBorder="1" applyAlignment="1">
      <alignment vertical="center"/>
    </xf>
    <xf numFmtId="166" fontId="6" fillId="3" borderId="30" xfId="2" applyNumberFormat="1" applyFont="1" applyFill="1" applyBorder="1" applyAlignment="1">
      <alignment vertical="center"/>
    </xf>
    <xf numFmtId="166" fontId="6" fillId="0" borderId="31" xfId="2" applyNumberFormat="1" applyFont="1" applyBorder="1" applyAlignment="1">
      <alignment vertical="center"/>
    </xf>
    <xf numFmtId="0" fontId="6" fillId="4" borderId="33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left" vertical="center"/>
    </xf>
    <xf numFmtId="41" fontId="14" fillId="4" borderId="35" xfId="4" applyNumberFormat="1" applyFont="1" applyFill="1" applyBorder="1" applyAlignment="1">
      <alignment horizontal="left" vertical="center"/>
    </xf>
    <xf numFmtId="41" fontId="6" fillId="4" borderId="36" xfId="4" applyNumberFormat="1" applyFont="1" applyFill="1" applyBorder="1" applyAlignment="1">
      <alignment vertical="center"/>
    </xf>
    <xf numFmtId="166" fontId="6" fillId="0" borderId="34" xfId="2" applyNumberFormat="1" applyFont="1" applyBorder="1" applyAlignment="1">
      <alignment vertical="center"/>
    </xf>
    <xf numFmtId="166" fontId="6" fillId="3" borderId="34" xfId="2" applyNumberFormat="1" applyFont="1" applyFill="1" applyBorder="1" applyAlignment="1">
      <alignment vertical="center"/>
    </xf>
    <xf numFmtId="166" fontId="6" fillId="0" borderId="35" xfId="2" applyNumberFormat="1" applyFont="1" applyBorder="1" applyAlignment="1">
      <alignment vertical="center"/>
    </xf>
    <xf numFmtId="0" fontId="15" fillId="0" borderId="26" xfId="0" applyFont="1" applyFill="1" applyBorder="1" applyAlignment="1">
      <alignment horizontal="left" vertical="center"/>
    </xf>
    <xf numFmtId="167" fontId="15" fillId="0" borderId="26" xfId="1" applyNumberFormat="1" applyFont="1" applyFill="1" applyBorder="1" applyAlignment="1">
      <alignment vertical="center"/>
    </xf>
    <xf numFmtId="0" fontId="15" fillId="0" borderId="30" xfId="0" applyFont="1" applyFill="1" applyBorder="1" applyAlignment="1">
      <alignment horizontal="left" vertical="center"/>
    </xf>
    <xf numFmtId="167" fontId="15" fillId="0" borderId="30" xfId="1" applyNumberFormat="1" applyFont="1" applyFill="1" applyBorder="1" applyAlignment="1">
      <alignment vertical="center"/>
    </xf>
    <xf numFmtId="41" fontId="6" fillId="0" borderId="28" xfId="4" applyNumberFormat="1" applyFont="1" applyFill="1" applyBorder="1" applyAlignment="1">
      <alignment vertical="center"/>
    </xf>
    <xf numFmtId="166" fontId="6" fillId="0" borderId="26" xfId="2" applyNumberFormat="1" applyFont="1" applyFill="1" applyBorder="1" applyAlignment="1">
      <alignment vertical="center"/>
    </xf>
    <xf numFmtId="41" fontId="6" fillId="0" borderId="26" xfId="2" applyNumberFormat="1" applyFont="1" applyFill="1" applyBorder="1" applyAlignment="1">
      <alignment vertical="center"/>
    </xf>
    <xf numFmtId="166" fontId="6" fillId="0" borderId="28" xfId="2" applyNumberFormat="1" applyFont="1" applyFill="1" applyBorder="1" applyAlignment="1">
      <alignment vertical="center"/>
    </xf>
    <xf numFmtId="166" fontId="6" fillId="0" borderId="27" xfId="2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24" xfId="0" applyFont="1" applyBorder="1" applyAlignment="1">
      <alignment horizontal="right" vertical="center"/>
    </xf>
    <xf numFmtId="41" fontId="11" fillId="0" borderId="37" xfId="2" applyNumberFormat="1" applyFont="1" applyBorder="1" applyAlignment="1">
      <alignment vertical="center"/>
    </xf>
    <xf numFmtId="166" fontId="11" fillId="0" borderId="38" xfId="2" applyNumberFormat="1" applyFont="1" applyBorder="1" applyAlignment="1">
      <alignment vertical="center"/>
    </xf>
    <xf numFmtId="166" fontId="11" fillId="0" borderId="24" xfId="2" applyNumberFormat="1" applyFont="1" applyBorder="1" applyAlignment="1">
      <alignment vertical="center"/>
    </xf>
    <xf numFmtId="41" fontId="11" fillId="0" borderId="24" xfId="2" applyNumberFormat="1" applyFont="1" applyBorder="1" applyAlignment="1">
      <alignment vertical="center"/>
    </xf>
    <xf numFmtId="166" fontId="11" fillId="0" borderId="12" xfId="2" applyNumberFormat="1" applyFont="1" applyBorder="1" applyAlignment="1">
      <alignment vertical="center"/>
    </xf>
    <xf numFmtId="166" fontId="11" fillId="3" borderId="24" xfId="2" applyNumberFormat="1" applyFont="1" applyFill="1" applyBorder="1" applyAlignment="1">
      <alignment vertical="center"/>
    </xf>
    <xf numFmtId="166" fontId="11" fillId="0" borderId="13" xfId="2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166" fontId="6" fillId="0" borderId="2" xfId="2" applyNumberFormat="1" applyFont="1" applyBorder="1" applyAlignment="1">
      <alignment vertical="center"/>
    </xf>
    <xf numFmtId="166" fontId="6" fillId="3" borderId="2" xfId="2" applyNumberFormat="1" applyFont="1" applyFill="1" applyBorder="1" applyAlignment="1">
      <alignment vertical="center"/>
    </xf>
    <xf numFmtId="166" fontId="6" fillId="0" borderId="0" xfId="2" applyNumberFormat="1" applyFont="1" applyAlignment="1">
      <alignment vertical="center"/>
    </xf>
    <xf numFmtId="166" fontId="6" fillId="3" borderId="0" xfId="2" applyNumberFormat="1" applyFont="1" applyFill="1" applyAlignment="1">
      <alignment vertical="center"/>
    </xf>
    <xf numFmtId="166" fontId="17" fillId="0" borderId="0" xfId="2" applyNumberFormat="1" applyFont="1" applyAlignment="1">
      <alignment vertical="center"/>
    </xf>
    <xf numFmtId="166" fontId="17" fillId="3" borderId="0" xfId="2" applyNumberFormat="1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41" fontId="14" fillId="0" borderId="0" xfId="2" applyFont="1" applyFill="1" applyBorder="1" applyAlignment="1">
      <alignment vertical="center"/>
    </xf>
    <xf numFmtId="164" fontId="14" fillId="0" borderId="0" xfId="2" applyNumberFormat="1" applyFont="1" applyFill="1" applyBorder="1" applyAlignment="1">
      <alignment horizontal="left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41" fontId="14" fillId="0" borderId="0" xfId="0" applyNumberFormat="1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65" fontId="14" fillId="0" borderId="0" xfId="0" applyNumberFormat="1" applyFont="1" applyFill="1" applyBorder="1" applyAlignment="1">
      <alignment horizontal="left" vertical="center"/>
    </xf>
    <xf numFmtId="166" fontId="15" fillId="0" borderId="24" xfId="2" applyNumberFormat="1" applyFont="1" applyFill="1" applyBorder="1" applyAlignment="1">
      <alignment horizontal="center" vertical="center" wrapText="1"/>
    </xf>
    <xf numFmtId="2" fontId="15" fillId="0" borderId="11" xfId="2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5" fillId="0" borderId="17" xfId="0" quotePrefix="1" applyFont="1" applyFill="1" applyBorder="1" applyAlignment="1">
      <alignment horizontal="center" vertical="center"/>
    </xf>
    <xf numFmtId="49" fontId="15" fillId="0" borderId="17" xfId="2" quotePrefix="1" applyNumberFormat="1" applyFont="1" applyFill="1" applyBorder="1" applyAlignment="1">
      <alignment horizontal="center" vertical="center"/>
    </xf>
    <xf numFmtId="164" fontId="15" fillId="0" borderId="17" xfId="2" quotePrefix="1" applyNumberFormat="1" applyFont="1" applyFill="1" applyBorder="1" applyAlignment="1">
      <alignment horizontal="left" vertical="center"/>
    </xf>
    <xf numFmtId="2" fontId="15" fillId="0" borderId="1" xfId="0" quotePrefix="1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24" xfId="0" quotePrefix="1" applyFont="1" applyFill="1" applyBorder="1" applyAlignment="1">
      <alignment horizontal="center" vertical="center"/>
    </xf>
    <xf numFmtId="166" fontId="14" fillId="0" borderId="24" xfId="2" quotePrefix="1" applyNumberFormat="1" applyFont="1" applyFill="1" applyBorder="1" applyAlignment="1">
      <alignment horizontal="center" vertical="center"/>
    </xf>
    <xf numFmtId="164" fontId="14" fillId="0" borderId="24" xfId="2" quotePrefix="1" applyNumberFormat="1" applyFont="1" applyFill="1" applyBorder="1" applyAlignment="1">
      <alignment horizontal="left" vertical="center"/>
    </xf>
    <xf numFmtId="2" fontId="14" fillId="0" borderId="11" xfId="2" quotePrefix="1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vertical="center"/>
    </xf>
    <xf numFmtId="0" fontId="14" fillId="0" borderId="24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left" vertical="center"/>
    </xf>
    <xf numFmtId="166" fontId="14" fillId="0" borderId="24" xfId="2" applyNumberFormat="1" applyFont="1" applyFill="1" applyBorder="1" applyAlignment="1">
      <alignment vertical="center"/>
    </xf>
    <xf numFmtId="164" fontId="14" fillId="0" borderId="24" xfId="2" applyNumberFormat="1" applyFont="1" applyFill="1" applyBorder="1" applyAlignment="1">
      <alignment horizontal="left" vertical="center"/>
    </xf>
    <xf numFmtId="2" fontId="14" fillId="0" borderId="11" xfId="2" applyNumberFormat="1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vertical="center"/>
    </xf>
    <xf numFmtId="0" fontId="14" fillId="5" borderId="0" xfId="0" applyFont="1" applyFill="1" applyAlignment="1">
      <alignment vertical="center"/>
    </xf>
    <xf numFmtId="0" fontId="15" fillId="5" borderId="0" xfId="0" applyFont="1" applyFill="1" applyAlignment="1">
      <alignment vertical="center"/>
    </xf>
    <xf numFmtId="41" fontId="15" fillId="0" borderId="26" xfId="0" applyNumberFormat="1" applyFont="1" applyFill="1" applyBorder="1" applyAlignment="1">
      <alignment horizontal="left" vertical="center"/>
    </xf>
    <xf numFmtId="41" fontId="14" fillId="0" borderId="26" xfId="2" applyFont="1" applyFill="1" applyBorder="1" applyAlignment="1">
      <alignment vertical="center"/>
    </xf>
    <xf numFmtId="164" fontId="14" fillId="0" borderId="26" xfId="2" applyNumberFormat="1" applyFont="1" applyFill="1" applyBorder="1" applyAlignment="1">
      <alignment horizontal="left" vertical="center"/>
    </xf>
    <xf numFmtId="0" fontId="14" fillId="0" borderId="26" xfId="0" applyFont="1" applyFill="1" applyBorder="1" applyAlignment="1">
      <alignment horizontal="center" vertical="center"/>
    </xf>
    <xf numFmtId="2" fontId="15" fillId="0" borderId="26" xfId="0" applyNumberFormat="1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vertical="center"/>
    </xf>
    <xf numFmtId="41" fontId="15" fillId="0" borderId="26" xfId="2" applyFont="1" applyFill="1" applyBorder="1" applyAlignment="1">
      <alignment horizontal="left" vertical="center"/>
    </xf>
    <xf numFmtId="164" fontId="15" fillId="0" borderId="26" xfId="2" applyNumberFormat="1" applyFont="1" applyFill="1" applyBorder="1" applyAlignment="1">
      <alignment horizontal="left" vertical="center"/>
    </xf>
    <xf numFmtId="2" fontId="15" fillId="0" borderId="26" xfId="2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66" fontId="14" fillId="0" borderId="26" xfId="2" applyNumberFormat="1" applyFont="1" applyFill="1" applyBorder="1" applyAlignment="1">
      <alignment vertical="center"/>
    </xf>
    <xf numFmtId="2" fontId="14" fillId="0" borderId="26" xfId="2" applyNumberFormat="1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vertical="center" wrapText="1"/>
    </xf>
    <xf numFmtId="0" fontId="14" fillId="0" borderId="26" xfId="0" applyFont="1" applyFill="1" applyBorder="1" applyAlignment="1">
      <alignment horizontal="left" vertical="center" wrapText="1"/>
    </xf>
    <xf numFmtId="41" fontId="15" fillId="0" borderId="26" xfId="2" applyFont="1" applyFill="1" applyBorder="1" applyAlignment="1">
      <alignment vertical="center"/>
    </xf>
    <xf numFmtId="0" fontId="15" fillId="0" borderId="26" xfId="0" applyFont="1" applyFill="1" applyBorder="1" applyAlignment="1">
      <alignment vertical="center"/>
    </xf>
    <xf numFmtId="0" fontId="14" fillId="0" borderId="30" xfId="0" applyFont="1" applyFill="1" applyBorder="1" applyAlignment="1">
      <alignment vertical="center"/>
    </xf>
    <xf numFmtId="41" fontId="14" fillId="0" borderId="26" xfId="2" quotePrefix="1" applyFont="1" applyFill="1" applyBorder="1" applyAlignment="1">
      <alignment horizontal="center" vertical="center" wrapText="1"/>
    </xf>
    <xf numFmtId="164" fontId="14" fillId="0" borderId="26" xfId="2" quotePrefix="1" applyNumberFormat="1" applyFont="1" applyFill="1" applyBorder="1" applyAlignment="1">
      <alignment horizontal="left" vertical="center" wrapText="1"/>
    </xf>
    <xf numFmtId="41" fontId="15" fillId="0" borderId="26" xfId="2" applyNumberFormat="1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41" fontId="14" fillId="0" borderId="41" xfId="2" applyNumberFormat="1" applyFont="1" applyFill="1" applyBorder="1" applyAlignment="1">
      <alignment vertical="center"/>
    </xf>
    <xf numFmtId="164" fontId="14" fillId="0" borderId="41" xfId="2" applyNumberFormat="1" applyFont="1" applyFill="1" applyBorder="1" applyAlignment="1">
      <alignment horizontal="left" vertical="center"/>
    </xf>
    <xf numFmtId="2" fontId="14" fillId="0" borderId="41" xfId="2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right" vertical="center"/>
    </xf>
    <xf numFmtId="41" fontId="15" fillId="0" borderId="22" xfId="2" applyNumberFormat="1" applyFont="1" applyFill="1" applyBorder="1" applyAlignment="1">
      <alignment vertical="center"/>
    </xf>
    <xf numFmtId="164" fontId="15" fillId="0" borderId="22" xfId="2" applyNumberFormat="1" applyFont="1" applyFill="1" applyBorder="1" applyAlignment="1">
      <alignment horizontal="left" vertical="center"/>
    </xf>
    <xf numFmtId="2" fontId="15" fillId="0" borderId="22" xfId="2" applyNumberFormat="1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vertical="center"/>
    </xf>
    <xf numFmtId="43" fontId="15" fillId="0" borderId="0" xfId="0" applyNumberFormat="1" applyFont="1" applyFill="1" applyAlignment="1">
      <alignment vertical="center"/>
    </xf>
    <xf numFmtId="166" fontId="14" fillId="0" borderId="0" xfId="2" applyNumberFormat="1" applyFont="1" applyFill="1" applyAlignment="1">
      <alignment vertical="center"/>
    </xf>
    <xf numFmtId="164" fontId="14" fillId="0" borderId="0" xfId="2" applyNumberFormat="1" applyFont="1" applyFill="1" applyAlignment="1">
      <alignment horizontal="left" vertical="center"/>
    </xf>
    <xf numFmtId="2" fontId="14" fillId="0" borderId="0" xfId="2" applyNumberFormat="1" applyFont="1" applyFill="1" applyAlignment="1">
      <alignment horizontal="center" vertical="center"/>
    </xf>
    <xf numFmtId="41" fontId="14" fillId="0" borderId="0" xfId="2" applyFont="1" applyFill="1" applyAlignment="1">
      <alignment vertical="center"/>
    </xf>
    <xf numFmtId="41" fontId="14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Border="1" applyAlignment="1">
      <alignment horizontal="right" vertical="center"/>
    </xf>
    <xf numFmtId="166" fontId="14" fillId="0" borderId="0" xfId="0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5" fillId="0" borderId="26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165" fontId="14" fillId="0" borderId="0" xfId="0" applyNumberFormat="1" applyFont="1" applyFill="1" applyAlignment="1">
      <alignment horizontal="left" vertical="center"/>
    </xf>
    <xf numFmtId="41" fontId="14" fillId="0" borderId="0" xfId="2" applyFont="1" applyFill="1" applyAlignment="1">
      <alignment horizontal="left" vertical="center"/>
    </xf>
    <xf numFmtId="2" fontId="14" fillId="0" borderId="0" xfId="0" applyNumberFormat="1" applyFont="1" applyFill="1" applyAlignment="1">
      <alignment vertical="center"/>
    </xf>
    <xf numFmtId="166" fontId="6" fillId="0" borderId="24" xfId="2" applyNumberFormat="1" applyFont="1" applyBorder="1" applyAlignment="1">
      <alignment vertical="center"/>
    </xf>
    <xf numFmtId="41" fontId="15" fillId="0" borderId="26" xfId="2" applyFont="1" applyFill="1" applyBorder="1" applyAlignment="1">
      <alignment horizontal="right" vertical="center"/>
    </xf>
    <xf numFmtId="41" fontId="14" fillId="0" borderId="26" xfId="2" applyFont="1" applyFill="1" applyBorder="1" applyAlignment="1">
      <alignment horizontal="right" vertical="center"/>
    </xf>
    <xf numFmtId="0" fontId="14" fillId="0" borderId="28" xfId="0" applyFont="1" applyFill="1" applyBorder="1" applyAlignment="1">
      <alignment vertical="center"/>
    </xf>
    <xf numFmtId="0" fontId="15" fillId="0" borderId="28" xfId="0" applyFont="1" applyFill="1" applyBorder="1" applyAlignment="1">
      <alignment vertical="center"/>
    </xf>
    <xf numFmtId="41" fontId="14" fillId="0" borderId="26" xfId="2" applyFont="1" applyFill="1" applyBorder="1" applyAlignment="1">
      <alignment horizontal="left" vertical="center"/>
    </xf>
    <xf numFmtId="2" fontId="14" fillId="0" borderId="0" xfId="0" applyNumberFormat="1" applyFont="1" applyFill="1" applyAlignment="1">
      <alignment horizontal="center" vertical="center"/>
    </xf>
    <xf numFmtId="166" fontId="11" fillId="0" borderId="18" xfId="2" applyNumberFormat="1" applyFont="1" applyFill="1" applyBorder="1" applyAlignment="1">
      <alignment horizontal="center" vertical="center" wrapText="1"/>
    </xf>
    <xf numFmtId="0" fontId="11" fillId="0" borderId="49" xfId="0" quotePrefix="1" applyFont="1" applyFill="1" applyBorder="1" applyAlignment="1">
      <alignment horizontal="center" vertical="center"/>
    </xf>
    <xf numFmtId="0" fontId="6" fillId="0" borderId="18" xfId="0" quotePrefix="1" applyFont="1" applyFill="1" applyBorder="1" applyAlignment="1">
      <alignment horizontal="center" vertical="center"/>
    </xf>
    <xf numFmtId="41" fontId="6" fillId="0" borderId="18" xfId="2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left" vertical="center"/>
    </xf>
    <xf numFmtId="41" fontId="6" fillId="0" borderId="26" xfId="2" applyFont="1" applyFill="1" applyBorder="1" applyAlignment="1">
      <alignment vertical="center"/>
    </xf>
    <xf numFmtId="2" fontId="6" fillId="0" borderId="26" xfId="2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center"/>
    </xf>
    <xf numFmtId="0" fontId="11" fillId="0" borderId="26" xfId="0" applyFont="1" applyFill="1" applyBorder="1" applyAlignment="1">
      <alignment horizontal="center" vertical="center"/>
    </xf>
    <xf numFmtId="41" fontId="11" fillId="0" borderId="26" xfId="2" applyFont="1" applyFill="1" applyBorder="1" applyAlignment="1">
      <alignment vertical="center"/>
    </xf>
    <xf numFmtId="166" fontId="11" fillId="0" borderId="26" xfId="2" applyNumberFormat="1" applyFont="1" applyFill="1" applyBorder="1" applyAlignment="1">
      <alignment vertical="center"/>
    </xf>
    <xf numFmtId="2" fontId="11" fillId="0" borderId="26" xfId="2" applyNumberFormat="1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4" fontId="6" fillId="0" borderId="26" xfId="0" applyNumberFormat="1" applyFont="1" applyFill="1" applyBorder="1" applyAlignment="1">
      <alignment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horizontal="center" vertical="center"/>
    </xf>
    <xf numFmtId="41" fontId="5" fillId="0" borderId="26" xfId="6" applyFont="1" applyFill="1" applyBorder="1" applyAlignment="1">
      <alignment horizontal="center" vertical="center"/>
    </xf>
    <xf numFmtId="166" fontId="16" fillId="0" borderId="26" xfId="2" applyNumberFormat="1" applyFont="1" applyFill="1" applyBorder="1" applyAlignment="1">
      <alignment horizontal="right" vertical="center"/>
    </xf>
    <xf numFmtId="41" fontId="15" fillId="0" borderId="26" xfId="11" applyNumberFormat="1" applyFont="1" applyFill="1" applyBorder="1" applyAlignment="1">
      <alignment horizontal="left" vertical="center" wrapText="1"/>
    </xf>
    <xf numFmtId="166" fontId="15" fillId="0" borderId="26" xfId="2" applyNumberFormat="1" applyFont="1" applyFill="1" applyBorder="1" applyAlignment="1">
      <alignment vertical="center"/>
    </xf>
    <xf numFmtId="0" fontId="6" fillId="0" borderId="26" xfId="0" applyFont="1" applyFill="1" applyBorder="1" applyAlignment="1">
      <alignment horizontal="left" vertical="center"/>
    </xf>
    <xf numFmtId="41" fontId="14" fillId="0" borderId="26" xfId="2" applyFont="1" applyFill="1" applyBorder="1" applyAlignment="1">
      <alignment vertical="center" wrapText="1"/>
    </xf>
    <xf numFmtId="41" fontId="5" fillId="0" borderId="26" xfId="2" applyFont="1" applyFill="1" applyBorder="1" applyAlignment="1">
      <alignment horizontal="left" vertical="center"/>
    </xf>
    <xf numFmtId="41" fontId="15" fillId="0" borderId="26" xfId="2" applyFont="1" applyFill="1" applyBorder="1" applyAlignment="1">
      <alignment vertical="center" wrapText="1"/>
    </xf>
    <xf numFmtId="49" fontId="6" fillId="0" borderId="26" xfId="0" applyNumberFormat="1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vertical="center"/>
    </xf>
    <xf numFmtId="0" fontId="6" fillId="0" borderId="30" xfId="0" applyFont="1" applyFill="1" applyBorder="1" applyAlignment="1">
      <alignment vertical="center"/>
    </xf>
    <xf numFmtId="0" fontId="11" fillId="0" borderId="48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right" vertical="center"/>
    </xf>
    <xf numFmtId="41" fontId="11" fillId="0" borderId="48" xfId="2" applyFont="1" applyFill="1" applyBorder="1" applyAlignment="1">
      <alignment vertical="center"/>
    </xf>
    <xf numFmtId="166" fontId="15" fillId="0" borderId="48" xfId="2" applyNumberFormat="1" applyFont="1" applyFill="1" applyBorder="1" applyAlignment="1">
      <alignment vertical="center"/>
    </xf>
    <xf numFmtId="0" fontId="11" fillId="0" borderId="48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0" fontId="15" fillId="0" borderId="39" xfId="0" applyFont="1" applyFill="1" applyBorder="1" applyAlignment="1">
      <alignment horizontal="left" vertical="center"/>
    </xf>
    <xf numFmtId="41" fontId="15" fillId="0" borderId="39" xfId="2" applyFont="1" applyFill="1" applyBorder="1" applyAlignment="1">
      <alignment horizontal="left" vertical="center"/>
    </xf>
    <xf numFmtId="164" fontId="15" fillId="0" borderId="39" xfId="2" applyNumberFormat="1" applyFont="1" applyFill="1" applyBorder="1" applyAlignment="1">
      <alignment horizontal="left" vertical="center"/>
    </xf>
    <xf numFmtId="2" fontId="15" fillId="0" borderId="39" xfId="0" applyNumberFormat="1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vertical="center"/>
    </xf>
    <xf numFmtId="39" fontId="15" fillId="0" borderId="26" xfId="0" applyNumberFormat="1" applyFont="1" applyFill="1" applyBorder="1" applyAlignment="1">
      <alignment horizontal="right" vertical="center"/>
    </xf>
    <xf numFmtId="39" fontId="14" fillId="0" borderId="26" xfId="0" applyNumberFormat="1" applyFont="1" applyFill="1" applyBorder="1" applyAlignment="1">
      <alignment horizontal="right" vertical="center"/>
    </xf>
    <xf numFmtId="0" fontId="15" fillId="0" borderId="26" xfId="0" applyFont="1" applyFill="1" applyBorder="1" applyAlignment="1">
      <alignment horizontal="left" vertical="center" wrapText="1"/>
    </xf>
    <xf numFmtId="39" fontId="15" fillId="0" borderId="26" xfId="5" applyNumberFormat="1" applyFont="1" applyFill="1" applyBorder="1" applyAlignment="1">
      <alignment horizontal="right" vertical="center"/>
    </xf>
    <xf numFmtId="39" fontId="14" fillId="0" borderId="26" xfId="5" applyNumberFormat="1" applyFont="1" applyFill="1" applyBorder="1" applyAlignment="1">
      <alignment horizontal="right" vertical="center"/>
    </xf>
    <xf numFmtId="164" fontId="11" fillId="0" borderId="26" xfId="2" applyNumberFormat="1" applyFont="1" applyFill="1" applyBorder="1" applyAlignment="1">
      <alignment horizontal="left" vertical="center"/>
    </xf>
    <xf numFmtId="164" fontId="6" fillId="0" borderId="26" xfId="2" applyNumberFormat="1" applyFont="1" applyFill="1" applyBorder="1" applyAlignment="1">
      <alignment horizontal="left" vertical="center"/>
    </xf>
    <xf numFmtId="49" fontId="15" fillId="0" borderId="26" xfId="0" applyNumberFormat="1" applyFont="1" applyFill="1" applyBorder="1" applyAlignment="1">
      <alignment horizontal="center" vertical="center"/>
    </xf>
    <xf numFmtId="0" fontId="11" fillId="0" borderId="26" xfId="5" applyFont="1" applyFill="1" applyBorder="1" applyAlignment="1">
      <alignment vertical="top" wrapText="1"/>
    </xf>
    <xf numFmtId="39" fontId="11" fillId="0" borderId="26" xfId="5" applyNumberFormat="1" applyFont="1" applyFill="1" applyBorder="1" applyAlignment="1">
      <alignment horizontal="right" vertical="top"/>
    </xf>
    <xf numFmtId="0" fontId="19" fillId="0" borderId="26" xfId="5" applyFont="1" applyFill="1" applyBorder="1" applyAlignment="1">
      <alignment vertical="top" wrapText="1"/>
    </xf>
    <xf numFmtId="49" fontId="14" fillId="0" borderId="26" xfId="0" applyNumberFormat="1" applyFont="1" applyFill="1" applyBorder="1" applyAlignment="1">
      <alignment horizontal="center" vertical="center"/>
    </xf>
    <xf numFmtId="0" fontId="6" fillId="0" borderId="26" xfId="5" applyFont="1" applyFill="1" applyBorder="1" applyAlignment="1">
      <alignment horizontal="left" vertical="top" wrapText="1"/>
    </xf>
    <xf numFmtId="39" fontId="6" fillId="0" borderId="26" xfId="5" applyNumberFormat="1" applyFont="1" applyFill="1" applyBorder="1" applyAlignment="1">
      <alignment horizontal="right" vertical="top"/>
    </xf>
    <xf numFmtId="0" fontId="11" fillId="0" borderId="26" xfId="5" applyFont="1" applyFill="1" applyBorder="1" applyAlignment="1">
      <alignment vertical="center" wrapText="1"/>
    </xf>
    <xf numFmtId="39" fontId="11" fillId="0" borderId="26" xfId="5" applyNumberFormat="1" applyFont="1" applyFill="1" applyBorder="1" applyAlignment="1">
      <alignment horizontal="right" vertical="center"/>
    </xf>
    <xf numFmtId="0" fontId="19" fillId="0" borderId="26" xfId="5" applyFont="1" applyFill="1" applyBorder="1" applyAlignment="1">
      <alignment vertical="center" wrapText="1"/>
    </xf>
    <xf numFmtId="0" fontId="6" fillId="0" borderId="26" xfId="5" applyFont="1" applyFill="1" applyBorder="1" applyAlignment="1">
      <alignment horizontal="left" vertical="center" wrapText="1"/>
    </xf>
    <xf numFmtId="39" fontId="6" fillId="0" borderId="26" xfId="5" applyNumberFormat="1" applyFont="1" applyFill="1" applyBorder="1" applyAlignment="1">
      <alignment horizontal="right" vertical="center"/>
    </xf>
    <xf numFmtId="49" fontId="14" fillId="0" borderId="26" xfId="0" applyNumberFormat="1" applyFont="1" applyFill="1" applyBorder="1" applyAlignment="1">
      <alignment horizontal="left" vertical="center"/>
    </xf>
    <xf numFmtId="2" fontId="14" fillId="0" borderId="26" xfId="0" applyNumberFormat="1" applyFont="1" applyFill="1" applyBorder="1" applyAlignment="1">
      <alignment horizontal="center" vertical="center"/>
    </xf>
    <xf numFmtId="41" fontId="15" fillId="0" borderId="26" xfId="4" applyFont="1" applyFill="1" applyBorder="1" applyAlignment="1">
      <alignment vertical="center"/>
    </xf>
    <xf numFmtId="41" fontId="15" fillId="0" borderId="26" xfId="4" applyFont="1" applyFill="1" applyBorder="1" applyAlignment="1">
      <alignment vertical="center" wrapText="1"/>
    </xf>
    <xf numFmtId="41" fontId="15" fillId="0" borderId="26" xfId="4" applyNumberFormat="1" applyFont="1" applyFill="1" applyBorder="1" applyAlignment="1">
      <alignment vertical="center" wrapText="1"/>
    </xf>
    <xf numFmtId="41" fontId="14" fillId="0" borderId="26" xfId="4" applyFont="1" applyFill="1" applyBorder="1" applyAlignment="1">
      <alignment vertical="center" wrapText="1"/>
    </xf>
    <xf numFmtId="41" fontId="14" fillId="0" borderId="26" xfId="4" applyNumberFormat="1" applyFont="1" applyFill="1" applyBorder="1" applyAlignment="1">
      <alignment vertical="center" wrapText="1"/>
    </xf>
    <xf numFmtId="41" fontId="15" fillId="0" borderId="26" xfId="4" applyFont="1" applyFill="1" applyBorder="1" applyAlignment="1">
      <alignment horizontal="left" vertical="center"/>
    </xf>
    <xf numFmtId="164" fontId="16" fillId="0" borderId="26" xfId="2" applyNumberFormat="1" applyFont="1" applyFill="1" applyBorder="1" applyAlignment="1">
      <alignment horizontal="left" vertical="center"/>
    </xf>
    <xf numFmtId="164" fontId="5" fillId="0" borderId="26" xfId="2" applyNumberFormat="1" applyFont="1" applyFill="1" applyBorder="1" applyAlignment="1">
      <alignment horizontal="left" vertical="center"/>
    </xf>
    <xf numFmtId="41" fontId="14" fillId="0" borderId="26" xfId="2" applyFont="1" applyFill="1" applyBorder="1" applyAlignment="1">
      <alignment horizontal="left" vertical="center" wrapText="1"/>
    </xf>
    <xf numFmtId="2" fontId="14" fillId="0" borderId="26" xfId="2" applyNumberFormat="1" applyFont="1" applyFill="1" applyBorder="1" applyAlignment="1">
      <alignment horizontal="center" vertical="center" wrapText="1"/>
    </xf>
    <xf numFmtId="2" fontId="16" fillId="0" borderId="26" xfId="0" applyNumberFormat="1" applyFont="1" applyFill="1" applyBorder="1" applyAlignment="1">
      <alignment horizontal="center" vertical="center"/>
    </xf>
    <xf numFmtId="2" fontId="5" fillId="0" borderId="26" xfId="0" applyNumberFormat="1" applyFont="1" applyFill="1" applyBorder="1" applyAlignment="1">
      <alignment horizontal="center" vertical="center"/>
    </xf>
    <xf numFmtId="0" fontId="15" fillId="0" borderId="26" xfId="7" applyNumberFormat="1" applyFont="1" applyFill="1" applyBorder="1" applyAlignment="1">
      <alignment horizontal="left" vertical="center" wrapText="1"/>
    </xf>
    <xf numFmtId="0" fontId="15" fillId="0" borderId="26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/>
    </xf>
    <xf numFmtId="41" fontId="15" fillId="0" borderId="26" xfId="2" applyFont="1" applyFill="1" applyBorder="1" applyAlignment="1">
      <alignment horizontal="right" vertical="center" wrapText="1"/>
    </xf>
    <xf numFmtId="41" fontId="14" fillId="0" borderId="26" xfId="2" applyFont="1" applyFill="1" applyBorder="1" applyAlignment="1">
      <alignment horizontal="right" vertical="center" wrapText="1"/>
    </xf>
    <xf numFmtId="164" fontId="14" fillId="0" borderId="26" xfId="2" applyNumberFormat="1" applyFont="1" applyFill="1" applyBorder="1" applyAlignment="1">
      <alignment horizontal="left" vertical="center" wrapText="1"/>
    </xf>
    <xf numFmtId="164" fontId="15" fillId="0" borderId="26" xfId="2" applyNumberFormat="1" applyFont="1" applyFill="1" applyBorder="1" applyAlignment="1">
      <alignment horizontal="left" vertical="center" wrapText="1"/>
    </xf>
    <xf numFmtId="41" fontId="15" fillId="0" borderId="26" xfId="4" applyFont="1" applyFill="1" applyBorder="1" applyAlignment="1">
      <alignment horizontal="left" vertical="center" wrapText="1"/>
    </xf>
    <xf numFmtId="41" fontId="15" fillId="0" borderId="26" xfId="2" applyFont="1" applyFill="1" applyBorder="1" applyAlignment="1">
      <alignment horizontal="center" vertical="center"/>
    </xf>
    <xf numFmtId="41" fontId="14" fillId="0" borderId="26" xfId="2" applyFont="1" applyFill="1" applyBorder="1" applyAlignment="1">
      <alignment horizontal="center" vertical="center"/>
    </xf>
    <xf numFmtId="0" fontId="15" fillId="0" borderId="26" xfId="0" quotePrefix="1" applyFont="1" applyFill="1" applyBorder="1" applyAlignment="1">
      <alignment horizontal="left" vertical="center" wrapText="1"/>
    </xf>
    <xf numFmtId="0" fontId="14" fillId="0" borderId="26" xfId="0" applyNumberFormat="1" applyFont="1" applyFill="1" applyBorder="1" applyAlignment="1" applyProtection="1">
      <alignment horizontal="left" vertical="center" wrapText="1"/>
    </xf>
    <xf numFmtId="43" fontId="14" fillId="0" borderId="26" xfId="8" applyFont="1" applyFill="1" applyBorder="1" applyAlignment="1">
      <alignment vertical="center"/>
    </xf>
    <xf numFmtId="0" fontId="15" fillId="0" borderId="26" xfId="0" applyNumberFormat="1" applyFont="1" applyFill="1" applyBorder="1" applyAlignment="1" applyProtection="1">
      <alignment horizontal="left" vertical="center"/>
    </xf>
    <xf numFmtId="41" fontId="15" fillId="0" borderId="26" xfId="2" applyFont="1" applyFill="1" applyBorder="1" applyAlignment="1" applyProtection="1">
      <alignment horizontal="right" vertical="center"/>
    </xf>
    <xf numFmtId="0" fontId="14" fillId="0" borderId="26" xfId="0" applyNumberFormat="1" applyFont="1" applyFill="1" applyBorder="1" applyAlignment="1" applyProtection="1">
      <alignment horizontal="left" vertical="center"/>
    </xf>
    <xf numFmtId="41" fontId="14" fillId="0" borderId="26" xfId="2" applyFont="1" applyFill="1" applyBorder="1" applyAlignment="1" applyProtection="1">
      <alignment horizontal="right" vertical="center"/>
    </xf>
    <xf numFmtId="43" fontId="15" fillId="0" borderId="26" xfId="8" applyFont="1" applyFill="1" applyBorder="1" applyAlignment="1">
      <alignment vertical="center"/>
    </xf>
    <xf numFmtId="43" fontId="25" fillId="0" borderId="26" xfId="8" applyFont="1" applyFill="1" applyBorder="1" applyAlignment="1">
      <alignment vertical="center"/>
    </xf>
    <xf numFmtId="0" fontId="15" fillId="0" borderId="26" xfId="5" applyFont="1" applyFill="1" applyBorder="1" applyAlignment="1">
      <alignment horizontal="left" vertical="center" wrapText="1"/>
    </xf>
    <xf numFmtId="0" fontId="14" fillId="0" borderId="26" xfId="5" applyFont="1" applyFill="1" applyBorder="1" applyAlignment="1">
      <alignment horizontal="left" vertical="center" wrapText="1"/>
    </xf>
    <xf numFmtId="0" fontId="15" fillId="0" borderId="26" xfId="5" applyFont="1" applyFill="1" applyBorder="1" applyAlignment="1">
      <alignment horizontal="left" vertical="center"/>
    </xf>
    <xf numFmtId="0" fontId="14" fillId="0" borderId="26" xfId="0" applyFont="1" applyFill="1" applyBorder="1" applyAlignment="1"/>
    <xf numFmtId="0" fontId="14" fillId="0" borderId="0" xfId="0" applyFont="1" applyFill="1" applyAlignment="1"/>
    <xf numFmtId="1" fontId="15" fillId="0" borderId="26" xfId="0" applyNumberFormat="1" applyFont="1" applyFill="1" applyBorder="1" applyAlignment="1">
      <alignment vertical="center"/>
    </xf>
    <xf numFmtId="1" fontId="14" fillId="0" borderId="26" xfId="0" applyNumberFormat="1" applyFont="1" applyFill="1" applyBorder="1" applyAlignment="1">
      <alignment vertical="center"/>
    </xf>
    <xf numFmtId="0" fontId="15" fillId="0" borderId="26" xfId="13" applyNumberFormat="1" applyFont="1" applyFill="1" applyBorder="1" applyAlignment="1">
      <alignment horizontal="left" vertical="center" wrapText="1"/>
    </xf>
    <xf numFmtId="0" fontId="14" fillId="0" borderId="26" xfId="13" applyNumberFormat="1" applyFont="1" applyFill="1" applyBorder="1" applyAlignment="1">
      <alignment horizontal="left" vertical="center" wrapText="1"/>
    </xf>
    <xf numFmtId="2" fontId="14" fillId="0" borderId="26" xfId="0" applyNumberFormat="1" applyFont="1" applyFill="1" applyBorder="1" applyAlignment="1">
      <alignment horizontal="center" vertical="center" wrapText="1"/>
    </xf>
    <xf numFmtId="0" fontId="15" fillId="0" borderId="26" xfId="28" applyFont="1" applyFill="1" applyBorder="1" applyAlignment="1">
      <alignment horizontal="left" vertical="center"/>
    </xf>
    <xf numFmtId="0" fontId="14" fillId="0" borderId="26" xfId="28" applyFont="1" applyFill="1" applyBorder="1" applyAlignment="1">
      <alignment horizontal="left" vertical="center"/>
    </xf>
    <xf numFmtId="0" fontId="14" fillId="0" borderId="26" xfId="28" applyFont="1" applyFill="1" applyBorder="1" applyAlignment="1">
      <alignment horizontal="left" vertical="center" wrapText="1"/>
    </xf>
    <xf numFmtId="0" fontId="15" fillId="0" borderId="26" xfId="28" applyFont="1" applyFill="1" applyBorder="1" applyAlignment="1">
      <alignment horizontal="left" vertical="center" wrapText="1"/>
    </xf>
    <xf numFmtId="41" fontId="15" fillId="0" borderId="26" xfId="6" applyFont="1" applyFill="1" applyBorder="1" applyAlignment="1">
      <alignment horizontal="left" vertical="center"/>
    </xf>
    <xf numFmtId="167" fontId="15" fillId="0" borderId="26" xfId="8" applyNumberFormat="1" applyFont="1" applyFill="1" applyBorder="1" applyAlignment="1">
      <alignment horizontal="left" vertical="center"/>
    </xf>
    <xf numFmtId="41" fontId="15" fillId="0" borderId="26" xfId="6" applyFont="1" applyFill="1" applyBorder="1" applyAlignment="1">
      <alignment vertical="center" wrapText="1"/>
    </xf>
    <xf numFmtId="43" fontId="15" fillId="0" borderId="26" xfId="8" applyNumberFormat="1" applyFont="1" applyFill="1" applyBorder="1" applyAlignment="1">
      <alignment vertical="center" wrapText="1"/>
    </xf>
    <xf numFmtId="43" fontId="15" fillId="0" borderId="26" xfId="6" applyNumberFormat="1" applyFont="1" applyFill="1" applyBorder="1" applyAlignment="1">
      <alignment vertical="center" wrapText="1"/>
    </xf>
    <xf numFmtId="43" fontId="14" fillId="0" borderId="26" xfId="8" applyNumberFormat="1" applyFont="1" applyFill="1" applyBorder="1" applyAlignment="1">
      <alignment vertical="center"/>
    </xf>
    <xf numFmtId="43" fontId="14" fillId="0" borderId="26" xfId="6" applyNumberFormat="1" applyFont="1" applyFill="1" applyBorder="1" applyAlignment="1">
      <alignment vertical="center" wrapText="1"/>
    </xf>
    <xf numFmtId="43" fontId="15" fillId="0" borderId="26" xfId="8" applyNumberFormat="1" applyFont="1" applyFill="1" applyBorder="1" applyAlignment="1">
      <alignment vertical="center"/>
    </xf>
    <xf numFmtId="39" fontId="14" fillId="0" borderId="26" xfId="6" applyNumberFormat="1" applyFont="1" applyFill="1" applyBorder="1" applyAlignment="1">
      <alignment vertical="center" wrapText="1"/>
    </xf>
    <xf numFmtId="43" fontId="14" fillId="0" borderId="26" xfId="8" applyNumberFormat="1" applyFont="1" applyFill="1" applyBorder="1" applyAlignment="1">
      <alignment horizontal="left" vertical="center"/>
    </xf>
    <xf numFmtId="43" fontId="14" fillId="0" borderId="26" xfId="6" applyNumberFormat="1" applyFont="1" applyFill="1" applyBorder="1" applyAlignment="1">
      <alignment vertical="center"/>
    </xf>
    <xf numFmtId="41" fontId="15" fillId="0" borderId="26" xfId="2" quotePrefix="1" applyFont="1" applyFill="1" applyBorder="1" applyAlignment="1">
      <alignment horizontal="right" vertical="center" wrapText="1"/>
    </xf>
    <xf numFmtId="41" fontId="15" fillId="0" borderId="26" xfId="2" quotePrefix="1" applyFont="1" applyFill="1" applyBorder="1" applyAlignment="1">
      <alignment horizontal="center" vertical="center" wrapText="1"/>
    </xf>
    <xf numFmtId="0" fontId="14" fillId="0" borderId="26" xfId="28" applyFont="1" applyFill="1" applyBorder="1" applyAlignment="1">
      <alignment vertical="center" wrapText="1"/>
    </xf>
    <xf numFmtId="0" fontId="15" fillId="0" borderId="26" xfId="28" applyFont="1" applyFill="1" applyBorder="1" applyAlignment="1">
      <alignment vertical="center" wrapText="1"/>
    </xf>
    <xf numFmtId="164" fontId="5" fillId="0" borderId="26" xfId="2" applyNumberFormat="1" applyFont="1" applyFill="1" applyBorder="1" applyAlignment="1">
      <alignment horizontal="left" vertical="center" wrapText="1"/>
    </xf>
    <xf numFmtId="2" fontId="15" fillId="0" borderId="26" xfId="0" applyNumberFormat="1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vertical="top" wrapText="1"/>
    </xf>
    <xf numFmtId="43" fontId="16" fillId="0" borderId="26" xfId="0" applyNumberFormat="1" applyFont="1" applyFill="1" applyBorder="1" applyAlignment="1">
      <alignment vertical="top" wrapText="1"/>
    </xf>
    <xf numFmtId="43" fontId="16" fillId="0" borderId="26" xfId="8" applyFont="1" applyFill="1" applyBorder="1" applyAlignment="1">
      <alignment vertical="top" wrapText="1"/>
    </xf>
    <xf numFmtId="43" fontId="5" fillId="0" borderId="26" xfId="8" applyFont="1" applyFill="1" applyBorder="1" applyAlignment="1">
      <alignment vertical="top" wrapText="1"/>
    </xf>
    <xf numFmtId="43" fontId="5" fillId="0" borderId="26" xfId="0" applyNumberFormat="1" applyFont="1" applyFill="1" applyBorder="1" applyAlignment="1">
      <alignment vertical="top" wrapText="1"/>
    </xf>
    <xf numFmtId="0" fontId="5" fillId="0" borderId="26" xfId="0" applyFont="1" applyFill="1" applyBorder="1" applyAlignment="1">
      <alignment vertical="top" wrapText="1"/>
    </xf>
    <xf numFmtId="43" fontId="16" fillId="0" borderId="26" xfId="8" applyFont="1" applyFill="1" applyBorder="1"/>
    <xf numFmtId="43" fontId="5" fillId="0" borderId="26" xfId="8" applyFont="1" applyFill="1" applyBorder="1"/>
    <xf numFmtId="43" fontId="16" fillId="0" borderId="26" xfId="0" applyNumberFormat="1" applyFont="1" applyFill="1" applyBorder="1"/>
    <xf numFmtId="43" fontId="5" fillId="0" borderId="26" xfId="0" applyNumberFormat="1" applyFont="1" applyFill="1" applyBorder="1"/>
    <xf numFmtId="0" fontId="16" fillId="0" borderId="26" xfId="0" applyFont="1" applyFill="1" applyBorder="1"/>
    <xf numFmtId="0" fontId="5" fillId="0" borderId="26" xfId="0" applyFont="1" applyFill="1" applyBorder="1"/>
    <xf numFmtId="0" fontId="5" fillId="0" borderId="26" xfId="0" applyFont="1" applyFill="1" applyBorder="1" applyAlignment="1">
      <alignment vertical="center"/>
    </xf>
    <xf numFmtId="0" fontId="16" fillId="0" borderId="26" xfId="0" applyFont="1" applyFill="1" applyBorder="1" applyAlignment="1">
      <alignment vertical="center"/>
    </xf>
    <xf numFmtId="0" fontId="16" fillId="0" borderId="26" xfId="0" applyFont="1" applyFill="1" applyBorder="1" applyAlignment="1">
      <alignment vertical="top"/>
    </xf>
    <xf numFmtId="43" fontId="16" fillId="0" borderId="26" xfId="8" applyFont="1" applyFill="1" applyBorder="1" applyAlignment="1">
      <alignment vertical="top"/>
    </xf>
    <xf numFmtId="0" fontId="5" fillId="0" borderId="26" xfId="0" applyFont="1" applyFill="1" applyBorder="1" applyAlignment="1">
      <alignment vertical="top"/>
    </xf>
    <xf numFmtId="43" fontId="5" fillId="0" borderId="26" xfId="8" applyFont="1" applyFill="1" applyBorder="1" applyAlignment="1">
      <alignment vertical="top"/>
    </xf>
    <xf numFmtId="0" fontId="16" fillId="0" borderId="26" xfId="0" applyFont="1" applyFill="1" applyBorder="1" applyAlignment="1">
      <alignment vertical="center" wrapText="1"/>
    </xf>
    <xf numFmtId="43" fontId="16" fillId="0" borderId="26" xfId="8" applyFont="1" applyFill="1" applyBorder="1" applyAlignment="1">
      <alignment vertical="center" wrapText="1"/>
    </xf>
    <xf numFmtId="43" fontId="16" fillId="0" borderId="26" xfId="0" applyNumberFormat="1" applyFont="1" applyFill="1" applyBorder="1" applyAlignment="1">
      <alignment vertical="center" wrapText="1"/>
    </xf>
    <xf numFmtId="43" fontId="16" fillId="0" borderId="26" xfId="8" applyFont="1" applyFill="1" applyBorder="1" applyAlignment="1">
      <alignment vertical="center"/>
    </xf>
    <xf numFmtId="43" fontId="5" fillId="0" borderId="26" xfId="8" applyFont="1" applyFill="1" applyBorder="1" applyAlignment="1">
      <alignment vertical="center"/>
    </xf>
    <xf numFmtId="43" fontId="5" fillId="0" borderId="26" xfId="0" applyNumberFormat="1" applyFont="1" applyFill="1" applyBorder="1" applyAlignment="1">
      <alignment vertical="center" wrapText="1"/>
    </xf>
    <xf numFmtId="43" fontId="16" fillId="0" borderId="26" xfId="0" applyNumberFormat="1" applyFont="1" applyFill="1" applyBorder="1" applyAlignment="1">
      <alignment vertical="top"/>
    </xf>
    <xf numFmtId="0" fontId="27" fillId="0" borderId="28" xfId="0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49" fontId="15" fillId="0" borderId="26" xfId="30" applyNumberFormat="1" applyFont="1" applyFill="1" applyBorder="1" applyAlignment="1">
      <alignment horizontal="left" vertical="center"/>
    </xf>
    <xf numFmtId="49" fontId="14" fillId="0" borderId="26" xfId="30" applyNumberFormat="1" applyFont="1" applyFill="1" applyBorder="1" applyAlignment="1">
      <alignment horizontal="left" vertical="center"/>
    </xf>
    <xf numFmtId="49" fontId="14" fillId="0" borderId="26" xfId="30" applyNumberFormat="1" applyFont="1" applyFill="1" applyBorder="1" applyAlignment="1">
      <alignment horizontal="left" vertical="center" wrapText="1"/>
    </xf>
    <xf numFmtId="166" fontId="15" fillId="0" borderId="26" xfId="31" applyNumberFormat="1" applyFont="1" applyFill="1" applyBorder="1" applyAlignment="1">
      <alignment horizontal="left" vertical="center"/>
    </xf>
    <xf numFmtId="49" fontId="15" fillId="0" borderId="26" xfId="0" applyNumberFormat="1" applyFont="1" applyFill="1" applyBorder="1" applyAlignment="1">
      <alignment horizontal="left" vertical="center"/>
    </xf>
    <xf numFmtId="41" fontId="15" fillId="0" borderId="26" xfId="2" applyFont="1" applyFill="1" applyBorder="1" applyAlignment="1">
      <alignment horizontal="left" vertical="center" wrapText="1"/>
    </xf>
    <xf numFmtId="2" fontId="15" fillId="0" borderId="26" xfId="6" applyNumberFormat="1" applyFont="1" applyFill="1" applyBorder="1" applyAlignment="1">
      <alignment horizontal="center" vertical="center"/>
    </xf>
    <xf numFmtId="164" fontId="23" fillId="0" borderId="26" xfId="2" applyNumberFormat="1" applyFont="1" applyFill="1" applyBorder="1" applyAlignment="1">
      <alignment horizontal="left" vertical="center"/>
    </xf>
    <xf numFmtId="2" fontId="16" fillId="0" borderId="26" xfId="6" applyNumberFormat="1" applyFont="1" applyFill="1" applyBorder="1" applyAlignment="1">
      <alignment horizontal="center" vertical="center"/>
    </xf>
    <xf numFmtId="2" fontId="5" fillId="0" borderId="26" xfId="8" applyNumberFormat="1" applyFont="1" applyFill="1" applyBorder="1" applyAlignment="1">
      <alignment horizontal="center" vertical="center"/>
    </xf>
    <xf numFmtId="0" fontId="15" fillId="0" borderId="26" xfId="0" quotePrefix="1" applyFont="1" applyFill="1" applyBorder="1" applyAlignment="1">
      <alignment horizontal="left" vertical="center"/>
    </xf>
    <xf numFmtId="2" fontId="16" fillId="0" borderId="26" xfId="8" applyNumberFormat="1" applyFont="1" applyFill="1" applyBorder="1" applyAlignment="1">
      <alignment horizontal="center" vertical="center"/>
    </xf>
    <xf numFmtId="2" fontId="28" fillId="0" borderId="26" xfId="8" applyNumberFormat="1" applyFont="1" applyFill="1" applyBorder="1" applyAlignment="1">
      <alignment horizontal="center" vertical="center"/>
    </xf>
    <xf numFmtId="49" fontId="14" fillId="0" borderId="26" xfId="0" applyNumberFormat="1" applyFont="1" applyFill="1" applyBorder="1" applyAlignment="1">
      <alignment vertical="center" wrapText="1"/>
    </xf>
    <xf numFmtId="49" fontId="14" fillId="0" borderId="26" xfId="0" applyNumberFormat="1" applyFont="1" applyFill="1" applyBorder="1" applyAlignment="1">
      <alignment horizontal="left" vertical="center" wrapText="1"/>
    </xf>
    <xf numFmtId="2" fontId="15" fillId="0" borderId="26" xfId="3" applyNumberFormat="1" applyFont="1" applyFill="1" applyBorder="1" applyAlignment="1">
      <alignment horizontal="center" vertical="center"/>
    </xf>
    <xf numFmtId="49" fontId="14" fillId="0" borderId="26" xfId="0" quotePrefix="1" applyNumberFormat="1" applyFont="1" applyFill="1" applyBorder="1" applyAlignment="1">
      <alignment horizontal="left" vertical="center" wrapText="1"/>
    </xf>
    <xf numFmtId="2" fontId="16" fillId="0" borderId="26" xfId="3" applyNumberFormat="1" applyFont="1" applyFill="1" applyBorder="1" applyAlignment="1">
      <alignment horizontal="center" vertical="center"/>
    </xf>
    <xf numFmtId="2" fontId="5" fillId="0" borderId="26" xfId="3" applyNumberFormat="1" applyFont="1" applyFill="1" applyBorder="1" applyAlignment="1">
      <alignment horizontal="center" vertical="center"/>
    </xf>
    <xf numFmtId="41" fontId="14" fillId="0" borderId="26" xfId="2" applyFont="1" applyFill="1" applyBorder="1" applyAlignment="1" applyProtection="1">
      <alignment vertical="center" wrapText="1"/>
      <protection locked="0"/>
    </xf>
    <xf numFmtId="164" fontId="5" fillId="0" borderId="26" xfId="2" applyNumberFormat="1" applyFont="1" applyFill="1" applyBorder="1" applyAlignment="1" applyProtection="1">
      <alignment horizontal="left" vertical="center" wrapText="1"/>
      <protection locked="0"/>
    </xf>
    <xf numFmtId="41" fontId="14" fillId="0" borderId="26" xfId="2" applyFont="1" applyFill="1" applyBorder="1" applyAlignment="1" applyProtection="1">
      <alignment horizontal="center" vertical="center" wrapText="1"/>
      <protection locked="0"/>
    </xf>
    <xf numFmtId="164" fontId="11" fillId="0" borderId="26" xfId="2" applyNumberFormat="1" applyFont="1" applyFill="1" applyBorder="1" applyAlignment="1">
      <alignment horizontal="left" vertical="center" wrapText="1"/>
    </xf>
    <xf numFmtId="43" fontId="15" fillId="0" borderId="26" xfId="12" applyNumberFormat="1" applyFont="1" applyFill="1" applyBorder="1" applyAlignment="1">
      <alignment horizontal="right" vertical="center"/>
    </xf>
    <xf numFmtId="43" fontId="14" fillId="0" borderId="26" xfId="12" applyNumberFormat="1" applyFont="1" applyFill="1" applyBorder="1" applyAlignment="1">
      <alignment horizontal="right" vertical="center"/>
    </xf>
    <xf numFmtId="39" fontId="15" fillId="0" borderId="26" xfId="12" applyNumberFormat="1" applyFont="1" applyFill="1" applyBorder="1" applyAlignment="1">
      <alignment vertical="center"/>
    </xf>
    <xf numFmtId="165" fontId="15" fillId="0" borderId="26" xfId="12" applyNumberFormat="1" applyFont="1" applyFill="1" applyBorder="1" applyAlignment="1">
      <alignment horizontal="left" vertical="center"/>
    </xf>
    <xf numFmtId="43" fontId="15" fillId="0" borderId="26" xfId="12" applyNumberFormat="1" applyFont="1" applyFill="1" applyBorder="1" applyAlignment="1">
      <alignment horizontal="left" vertical="center"/>
    </xf>
    <xf numFmtId="41" fontId="14" fillId="0" borderId="26" xfId="31" applyFont="1" applyFill="1" applyBorder="1" applyAlignment="1">
      <alignment horizontal="left" vertical="center"/>
    </xf>
    <xf numFmtId="0" fontId="14" fillId="0" borderId="26" xfId="0" applyFont="1" applyFill="1" applyBorder="1" applyAlignment="1">
      <alignment horizontal="right" vertical="center"/>
    </xf>
    <xf numFmtId="0" fontId="14" fillId="0" borderId="26" xfId="0" applyFont="1" applyFill="1" applyBorder="1" applyAlignment="1">
      <alignment horizontal="right" vertical="center" wrapText="1"/>
    </xf>
    <xf numFmtId="2" fontId="16" fillId="0" borderId="26" xfId="0" applyNumberFormat="1" applyFont="1" applyFill="1" applyBorder="1" applyAlignment="1">
      <alignment horizontal="center" vertical="top" wrapText="1"/>
    </xf>
    <xf numFmtId="2" fontId="16" fillId="0" borderId="26" xfId="0" applyNumberFormat="1" applyFont="1" applyFill="1" applyBorder="1" applyAlignment="1">
      <alignment horizontal="center"/>
    </xf>
    <xf numFmtId="2" fontId="5" fillId="0" borderId="26" xfId="0" applyNumberFormat="1" applyFont="1" applyFill="1" applyBorder="1" applyAlignment="1">
      <alignment horizontal="center"/>
    </xf>
    <xf numFmtId="2" fontId="15" fillId="0" borderId="24" xfId="2" applyNumberFormat="1" applyFont="1" applyFill="1" applyBorder="1" applyAlignment="1">
      <alignment horizontal="center" vertical="center" wrapText="1"/>
    </xf>
    <xf numFmtId="2" fontId="15" fillId="0" borderId="17" xfId="2" quotePrefix="1" applyNumberFormat="1" applyFont="1" applyFill="1" applyBorder="1" applyAlignment="1">
      <alignment horizontal="center" vertical="center"/>
    </xf>
    <xf numFmtId="2" fontId="14" fillId="0" borderId="24" xfId="2" quotePrefix="1" applyNumberFormat="1" applyFont="1" applyFill="1" applyBorder="1" applyAlignment="1">
      <alignment horizontal="center" vertical="center"/>
    </xf>
    <xf numFmtId="2" fontId="14" fillId="0" borderId="24" xfId="2" applyNumberFormat="1" applyFont="1" applyFill="1" applyBorder="1" applyAlignment="1">
      <alignment horizontal="center" vertical="center"/>
    </xf>
    <xf numFmtId="2" fontId="16" fillId="0" borderId="26" xfId="2" applyNumberFormat="1" applyFont="1" applyFill="1" applyBorder="1" applyAlignment="1">
      <alignment horizontal="center" vertical="center"/>
    </xf>
    <xf numFmtId="2" fontId="5" fillId="0" borderId="26" xfId="2" applyNumberFormat="1" applyFont="1" applyFill="1" applyBorder="1" applyAlignment="1">
      <alignment horizontal="center" vertical="center"/>
    </xf>
    <xf numFmtId="2" fontId="14" fillId="0" borderId="26" xfId="6" applyNumberFormat="1" applyFont="1" applyFill="1" applyBorder="1" applyAlignment="1">
      <alignment horizontal="center" vertical="center"/>
    </xf>
    <xf numFmtId="2" fontId="14" fillId="0" borderId="26" xfId="2" applyNumberFormat="1" applyFont="1" applyFill="1" applyBorder="1" applyAlignment="1">
      <alignment horizontal="center"/>
    </xf>
    <xf numFmtId="2" fontId="15" fillId="0" borderId="26" xfId="8" applyNumberFormat="1" applyFont="1" applyFill="1" applyBorder="1" applyAlignment="1">
      <alignment horizontal="center" vertical="center"/>
    </xf>
    <xf numFmtId="2" fontId="15" fillId="0" borderId="26" xfId="6" applyNumberFormat="1" applyFont="1" applyFill="1" applyBorder="1" applyAlignment="1">
      <alignment horizontal="center" vertical="center" wrapText="1"/>
    </xf>
    <xf numFmtId="2" fontId="14" fillId="0" borderId="26" xfId="6" applyNumberFormat="1" applyFont="1" applyFill="1" applyBorder="1" applyAlignment="1">
      <alignment horizontal="center" vertical="center" wrapText="1"/>
    </xf>
    <xf numFmtId="2" fontId="16" fillId="0" borderId="26" xfId="8" applyNumberFormat="1" applyFont="1" applyFill="1" applyBorder="1" applyAlignment="1">
      <alignment horizontal="center" vertical="top" wrapText="1"/>
    </xf>
    <xf numFmtId="2" fontId="5" fillId="0" borderId="26" xfId="8" applyNumberFormat="1" applyFont="1" applyFill="1" applyBorder="1" applyAlignment="1">
      <alignment horizontal="center" vertical="top" wrapText="1"/>
    </xf>
    <xf numFmtId="2" fontId="16" fillId="0" borderId="26" xfId="8" applyNumberFormat="1" applyFont="1" applyFill="1" applyBorder="1" applyAlignment="1">
      <alignment horizontal="center"/>
    </xf>
    <xf numFmtId="2" fontId="5" fillId="0" borderId="26" xfId="8" applyNumberFormat="1" applyFont="1" applyFill="1" applyBorder="1" applyAlignment="1">
      <alignment horizontal="center"/>
    </xf>
    <xf numFmtId="2" fontId="16" fillId="0" borderId="26" xfId="8" applyNumberFormat="1" applyFont="1" applyFill="1" applyBorder="1" applyAlignment="1">
      <alignment horizontal="center" vertical="top"/>
    </xf>
    <xf numFmtId="2" fontId="5" fillId="0" borderId="26" xfId="8" applyNumberFormat="1" applyFont="1" applyFill="1" applyBorder="1" applyAlignment="1">
      <alignment horizontal="center" vertical="top"/>
    </xf>
    <xf numFmtId="2" fontId="16" fillId="0" borderId="26" xfId="0" applyNumberFormat="1" applyFont="1" applyFill="1" applyBorder="1" applyAlignment="1">
      <alignment horizontal="center" vertical="center" wrapText="1"/>
    </xf>
    <xf numFmtId="2" fontId="5" fillId="0" borderId="26" xfId="0" applyNumberFormat="1" applyFont="1" applyFill="1" applyBorder="1" applyAlignment="1">
      <alignment horizontal="center" vertical="center" wrapText="1"/>
    </xf>
    <xf numFmtId="2" fontId="5" fillId="0" borderId="26" xfId="0" applyNumberFormat="1" applyFont="1" applyFill="1" applyBorder="1" applyAlignment="1">
      <alignment horizontal="center" vertical="top" wrapText="1"/>
    </xf>
    <xf numFmtId="2" fontId="5" fillId="0" borderId="26" xfId="6" applyNumberFormat="1" applyFont="1" applyFill="1" applyBorder="1" applyAlignment="1">
      <alignment horizontal="center" vertical="center"/>
    </xf>
    <xf numFmtId="2" fontId="28" fillId="0" borderId="26" xfId="6" applyNumberFormat="1" applyFont="1" applyFill="1" applyBorder="1" applyAlignment="1">
      <alignment horizontal="center" vertical="center"/>
    </xf>
    <xf numFmtId="2" fontId="15" fillId="0" borderId="26" xfId="32" applyNumberFormat="1" applyFont="1" applyFill="1" applyBorder="1" applyAlignment="1">
      <alignment horizontal="center" vertical="center"/>
    </xf>
    <xf numFmtId="2" fontId="14" fillId="0" borderId="26" xfId="32" applyNumberFormat="1" applyFont="1" applyFill="1" applyBorder="1" applyAlignment="1">
      <alignment horizontal="center" vertical="center"/>
    </xf>
    <xf numFmtId="49" fontId="15" fillId="0" borderId="26" xfId="30" applyNumberFormat="1" applyFont="1" applyFill="1" applyBorder="1" applyAlignment="1">
      <alignment horizontal="left" vertical="center" wrapText="1"/>
    </xf>
    <xf numFmtId="49" fontId="15" fillId="0" borderId="39" xfId="0" applyNumberFormat="1" applyFont="1" applyFill="1" applyBorder="1" applyAlignment="1">
      <alignment horizontal="center" vertical="center"/>
    </xf>
    <xf numFmtId="164" fontId="20" fillId="0" borderId="26" xfId="2" applyNumberFormat="1" applyFont="1" applyFill="1" applyBorder="1" applyAlignment="1">
      <alignment horizontal="left" vertical="center" wrapText="1"/>
    </xf>
    <xf numFmtId="2" fontId="20" fillId="0" borderId="26" xfId="6" applyNumberFormat="1" applyFont="1" applyFill="1" applyBorder="1" applyAlignment="1">
      <alignment horizontal="center" vertical="center" wrapText="1"/>
    </xf>
    <xf numFmtId="164" fontId="21" fillId="0" borderId="26" xfId="2" applyNumberFormat="1" applyFont="1" applyFill="1" applyBorder="1" applyAlignment="1">
      <alignment horizontal="left" vertical="center" wrapText="1"/>
    </xf>
    <xf numFmtId="2" fontId="21" fillId="0" borderId="26" xfId="6" applyNumberFormat="1" applyFont="1" applyFill="1" applyBorder="1" applyAlignment="1">
      <alignment horizontal="center" vertical="center" wrapText="1"/>
    </xf>
    <xf numFmtId="49" fontId="14" fillId="0" borderId="26" xfId="0" applyNumberFormat="1" applyFont="1" applyFill="1" applyBorder="1" applyAlignment="1">
      <alignment horizontal="center" vertical="center" wrapText="1"/>
    </xf>
    <xf numFmtId="49" fontId="15" fillId="0" borderId="26" xfId="0" applyNumberFormat="1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left" vertical="center" indent="1"/>
    </xf>
    <xf numFmtId="41" fontId="16" fillId="0" borderId="26" xfId="0" applyNumberFormat="1" applyFont="1" applyFill="1" applyBorder="1" applyAlignment="1">
      <alignment horizontal="left" vertical="center" indent="1"/>
    </xf>
    <xf numFmtId="2" fontId="16" fillId="0" borderId="26" xfId="3" applyNumberFormat="1" applyFont="1" applyFill="1" applyBorder="1" applyAlignment="1">
      <alignment horizontal="center"/>
    </xf>
    <xf numFmtId="0" fontId="5" fillId="0" borderId="26" xfId="0" applyFont="1" applyFill="1" applyBorder="1" applyAlignment="1">
      <alignment horizontal="left" vertical="center" indent="1"/>
    </xf>
    <xf numFmtId="41" fontId="5" fillId="0" borderId="26" xfId="0" applyNumberFormat="1" applyFont="1" applyFill="1" applyBorder="1" applyAlignment="1">
      <alignment horizontal="left" vertical="center" indent="1"/>
    </xf>
    <xf numFmtId="41" fontId="5" fillId="0" borderId="26" xfId="6" applyFont="1" applyFill="1" applyBorder="1" applyAlignment="1">
      <alignment horizontal="left" vertical="center" indent="1"/>
    </xf>
    <xf numFmtId="41" fontId="16" fillId="0" borderId="26" xfId="6" applyFont="1" applyFill="1" applyBorder="1" applyAlignment="1">
      <alignment horizontal="left" vertical="center" indent="1"/>
    </xf>
    <xf numFmtId="41" fontId="14" fillId="0" borderId="26" xfId="6" applyFont="1" applyFill="1" applyBorder="1" applyAlignment="1">
      <alignment horizontal="left" vertical="center" indent="1"/>
    </xf>
    <xf numFmtId="9" fontId="5" fillId="0" borderId="26" xfId="0" applyNumberFormat="1" applyFont="1" applyFill="1" applyBorder="1" applyAlignment="1">
      <alignment horizontal="left" indent="1"/>
    </xf>
    <xf numFmtId="9" fontId="5" fillId="0" borderId="26" xfId="3" applyNumberFormat="1" applyFont="1" applyFill="1" applyBorder="1" applyAlignment="1">
      <alignment horizontal="left" vertical="center" indent="1"/>
    </xf>
    <xf numFmtId="41" fontId="5" fillId="0" borderId="26" xfId="6" applyFont="1" applyFill="1" applyBorder="1"/>
    <xf numFmtId="41" fontId="22" fillId="0" borderId="26" xfId="6" applyFont="1" applyFill="1" applyBorder="1" applyAlignment="1">
      <alignment horizontal="left" vertical="center" indent="1"/>
    </xf>
    <xf numFmtId="41" fontId="14" fillId="0" borderId="26" xfId="6" applyFont="1" applyFill="1" applyBorder="1"/>
    <xf numFmtId="0" fontId="14" fillId="0" borderId="26" xfId="0" applyFont="1" applyFill="1" applyBorder="1" applyAlignment="1">
      <alignment horizontal="left" vertical="center" indent="1"/>
    </xf>
    <xf numFmtId="2" fontId="11" fillId="0" borderId="26" xfId="7" applyNumberFormat="1" applyFont="1" applyFill="1" applyBorder="1" applyAlignment="1">
      <alignment horizontal="center" vertical="center"/>
    </xf>
    <xf numFmtId="2" fontId="6" fillId="0" borderId="26" xfId="7" applyNumberFormat="1" applyFont="1" applyFill="1" applyBorder="1" applyAlignment="1">
      <alignment horizontal="center" vertical="center"/>
    </xf>
    <xf numFmtId="2" fontId="6" fillId="0" borderId="26" xfId="0" applyNumberFormat="1" applyFont="1" applyFill="1" applyBorder="1" applyAlignment="1">
      <alignment horizontal="center" vertical="center"/>
    </xf>
    <xf numFmtId="2" fontId="11" fillId="0" borderId="26" xfId="0" applyNumberFormat="1" applyFont="1" applyFill="1" applyBorder="1" applyAlignment="1">
      <alignment horizontal="center" vertical="center"/>
    </xf>
    <xf numFmtId="164" fontId="6" fillId="0" borderId="26" xfId="2" applyNumberFormat="1" applyFont="1" applyFill="1" applyBorder="1" applyAlignment="1">
      <alignment horizontal="left" vertical="center" wrapText="1"/>
    </xf>
    <xf numFmtId="43" fontId="16" fillId="0" borderId="26" xfId="8" applyNumberFormat="1" applyFont="1" applyFill="1" applyBorder="1" applyAlignment="1">
      <alignment horizontal="right" vertical="center"/>
    </xf>
    <xf numFmtId="4" fontId="16" fillId="0" borderId="26" xfId="0" applyNumberFormat="1" applyFont="1" applyFill="1" applyBorder="1" applyAlignment="1">
      <alignment horizontal="right" vertical="center"/>
    </xf>
    <xf numFmtId="0" fontId="5" fillId="0" borderId="26" xfId="0" applyFont="1" applyFill="1" applyBorder="1" applyAlignment="1">
      <alignment vertical="center" wrapText="1"/>
    </xf>
    <xf numFmtId="4" fontId="5" fillId="0" borderId="26" xfId="0" applyNumberFormat="1" applyFont="1" applyFill="1" applyBorder="1" applyAlignment="1">
      <alignment horizontal="right" vertical="center"/>
    </xf>
    <xf numFmtId="0" fontId="16" fillId="0" borderId="26" xfId="5" applyFont="1" applyFill="1" applyBorder="1" applyAlignment="1">
      <alignment vertical="center" wrapText="1"/>
    </xf>
    <xf numFmtId="0" fontId="5" fillId="0" borderId="26" xfId="5" applyFont="1" applyFill="1" applyBorder="1" applyAlignment="1">
      <alignment vertical="center" wrapText="1"/>
    </xf>
    <xf numFmtId="39" fontId="5" fillId="0" borderId="26" xfId="5" applyNumberFormat="1" applyFont="1" applyFill="1" applyBorder="1" applyAlignment="1">
      <alignment horizontal="right" vertical="center"/>
    </xf>
    <xf numFmtId="4" fontId="16" fillId="0" borderId="26" xfId="5" applyNumberFormat="1" applyFont="1" applyFill="1" applyBorder="1" applyAlignment="1">
      <alignment horizontal="right" vertical="center"/>
    </xf>
    <xf numFmtId="39" fontId="16" fillId="0" borderId="26" xfId="0" applyNumberFormat="1" applyFont="1" applyFill="1" applyBorder="1" applyAlignment="1">
      <alignment horizontal="right" vertical="center"/>
    </xf>
    <xf numFmtId="39" fontId="5" fillId="0" borderId="26" xfId="0" applyNumberFormat="1" applyFont="1" applyFill="1" applyBorder="1" applyAlignment="1">
      <alignment horizontal="right" vertical="center"/>
    </xf>
    <xf numFmtId="41" fontId="5" fillId="0" borderId="26" xfId="6" applyFont="1" applyFill="1" applyBorder="1" applyAlignment="1">
      <alignment horizontal="right" vertical="center"/>
    </xf>
    <xf numFmtId="166" fontId="16" fillId="0" borderId="26" xfId="6" applyNumberFormat="1" applyFont="1" applyFill="1" applyBorder="1" applyAlignment="1">
      <alignment horizontal="right" vertical="center"/>
    </xf>
    <xf numFmtId="164" fontId="16" fillId="0" borderId="26" xfId="2" applyNumberFormat="1" applyFont="1" applyFill="1" applyBorder="1" applyAlignment="1">
      <alignment horizontal="left" vertical="center" wrapText="1"/>
    </xf>
    <xf numFmtId="39" fontId="16" fillId="0" borderId="26" xfId="5" applyNumberFormat="1" applyFont="1" applyFill="1" applyBorder="1" applyAlignment="1">
      <alignment horizontal="right" vertical="center"/>
    </xf>
    <xf numFmtId="41" fontId="16" fillId="0" borderId="26" xfId="6" applyFont="1" applyFill="1" applyBorder="1" applyAlignment="1">
      <alignment horizontal="right" vertical="center"/>
    </xf>
    <xf numFmtId="0" fontId="15" fillId="0" borderId="26" xfId="0" applyNumberFormat="1" applyFont="1" applyFill="1" applyBorder="1" applyAlignment="1" applyProtection="1">
      <alignment horizontal="left" vertical="center" wrapText="1"/>
    </xf>
    <xf numFmtId="43" fontId="15" fillId="0" borderId="26" xfId="8" applyFont="1" applyFill="1" applyBorder="1" applyAlignment="1" applyProtection="1">
      <alignment horizontal="right" vertical="center"/>
    </xf>
    <xf numFmtId="0" fontId="14" fillId="0" borderId="26" xfId="0" applyNumberFormat="1" applyFont="1" applyFill="1" applyBorder="1" applyAlignment="1" applyProtection="1">
      <alignment horizontal="left" vertical="top" wrapText="1"/>
    </xf>
    <xf numFmtId="164" fontId="15" fillId="0" borderId="26" xfId="2" applyNumberFormat="1" applyFont="1" applyFill="1" applyBorder="1" applyAlignment="1" applyProtection="1">
      <alignment horizontal="left" vertical="center"/>
    </xf>
    <xf numFmtId="43" fontId="24" fillId="0" borderId="26" xfId="8" applyFont="1" applyFill="1" applyBorder="1"/>
    <xf numFmtId="164" fontId="24" fillId="0" borderId="26" xfId="2" applyNumberFormat="1" applyFont="1" applyFill="1" applyBorder="1" applyAlignment="1">
      <alignment horizontal="left" vertical="center"/>
    </xf>
    <xf numFmtId="0" fontId="15" fillId="0" borderId="26" xfId="0" applyFont="1" applyFill="1" applyBorder="1" applyAlignment="1">
      <alignment horizontal="left" vertical="center" indent="1"/>
    </xf>
    <xf numFmtId="41" fontId="16" fillId="0" borderId="26" xfId="0" applyNumberFormat="1" applyFont="1" applyFill="1" applyBorder="1"/>
    <xf numFmtId="41" fontId="15" fillId="0" borderId="26" xfId="6" applyFont="1" applyFill="1" applyBorder="1"/>
    <xf numFmtId="2" fontId="15" fillId="0" borderId="26" xfId="0" applyNumberFormat="1" applyFont="1" applyFill="1" applyBorder="1" applyAlignment="1">
      <alignment horizontal="center"/>
    </xf>
    <xf numFmtId="0" fontId="15" fillId="0" borderId="26" xfId="0" applyFont="1" applyFill="1" applyBorder="1"/>
    <xf numFmtId="2" fontId="14" fillId="0" borderId="26" xfId="0" applyNumberFormat="1" applyFont="1" applyFill="1" applyBorder="1" applyAlignment="1">
      <alignment horizontal="center"/>
    </xf>
    <xf numFmtId="0" fontId="14" fillId="0" borderId="26" xfId="0" applyFont="1" applyFill="1" applyBorder="1" applyAlignment="1">
      <alignment horizontal="left" vertical="center" wrapText="1" indent="1"/>
    </xf>
    <xf numFmtId="41" fontId="15" fillId="0" borderId="26" xfId="0" applyNumberFormat="1" applyFont="1" applyFill="1" applyBorder="1"/>
    <xf numFmtId="0" fontId="14" fillId="0" borderId="26" xfId="0" applyFont="1" applyFill="1" applyBorder="1"/>
    <xf numFmtId="41" fontId="14" fillId="0" borderId="26" xfId="6" applyFont="1" applyFill="1" applyBorder="1" applyAlignment="1">
      <alignment vertical="center"/>
    </xf>
    <xf numFmtId="41" fontId="15" fillId="0" borderId="26" xfId="6" applyFont="1" applyFill="1" applyBorder="1" applyAlignment="1">
      <alignment vertical="center"/>
    </xf>
    <xf numFmtId="41" fontId="14" fillId="0" borderId="26" xfId="6" applyFont="1" applyFill="1" applyBorder="1" applyAlignment="1">
      <alignment horizontal="right" vertical="center"/>
    </xf>
    <xf numFmtId="0" fontId="15" fillId="0" borderId="26" xfId="0" applyFont="1" applyFill="1" applyBorder="1" applyAlignment="1">
      <alignment horizontal="left" vertical="center" wrapText="1" indent="1"/>
    </xf>
    <xf numFmtId="41" fontId="14" fillId="0" borderId="26" xfId="6" applyNumberFormat="1" applyFont="1" applyFill="1" applyBorder="1" applyAlignment="1">
      <alignment vertical="center"/>
    </xf>
    <xf numFmtId="2" fontId="11" fillId="0" borderId="26" xfId="3" applyNumberFormat="1" applyFont="1" applyFill="1" applyBorder="1" applyAlignment="1">
      <alignment horizontal="center" vertical="center"/>
    </xf>
    <xf numFmtId="2" fontId="6" fillId="0" borderId="26" xfId="3" applyNumberFormat="1" applyFont="1" applyFill="1" applyBorder="1" applyAlignment="1">
      <alignment horizontal="center" vertical="center"/>
    </xf>
    <xf numFmtId="0" fontId="15" fillId="0" borderId="26" xfId="9" applyFont="1" applyFill="1" applyBorder="1" applyAlignment="1">
      <alignment horizontal="left" vertical="center"/>
    </xf>
    <xf numFmtId="43" fontId="15" fillId="0" borderId="26" xfId="10" applyFont="1" applyFill="1" applyBorder="1" applyAlignment="1">
      <alignment horizontal="left" vertical="center"/>
    </xf>
    <xf numFmtId="2" fontId="15" fillId="0" borderId="26" xfId="11" applyNumberFormat="1" applyFont="1" applyFill="1" applyBorder="1" applyAlignment="1">
      <alignment horizontal="center" vertical="center"/>
    </xf>
    <xf numFmtId="0" fontId="15" fillId="0" borderId="26" xfId="9" applyFont="1" applyFill="1" applyBorder="1" applyAlignment="1">
      <alignment horizontal="left" vertical="center" wrapText="1"/>
    </xf>
    <xf numFmtId="43" fontId="15" fillId="0" borderId="26" xfId="10" applyNumberFormat="1" applyFont="1" applyFill="1" applyBorder="1" applyAlignment="1">
      <alignment horizontal="right" vertical="center" wrapText="1"/>
    </xf>
    <xf numFmtId="2" fontId="15" fillId="0" borderId="26" xfId="11" applyNumberFormat="1" applyFont="1" applyFill="1" applyBorder="1" applyAlignment="1">
      <alignment horizontal="center" vertical="center" wrapText="1"/>
    </xf>
    <xf numFmtId="0" fontId="14" fillId="0" borderId="26" xfId="9" applyFont="1" applyFill="1" applyBorder="1" applyAlignment="1">
      <alignment horizontal="left" vertical="center" wrapText="1"/>
    </xf>
    <xf numFmtId="166" fontId="14" fillId="0" borderId="26" xfId="11" applyNumberFormat="1" applyFont="1" applyFill="1" applyBorder="1" applyAlignment="1">
      <alignment horizontal="right" vertical="center" wrapText="1"/>
    </xf>
    <xf numFmtId="2" fontId="14" fillId="0" borderId="26" xfId="11" applyNumberFormat="1" applyFont="1" applyFill="1" applyBorder="1" applyAlignment="1">
      <alignment horizontal="center" vertical="center" wrapText="1"/>
    </xf>
    <xf numFmtId="43" fontId="14" fillId="0" borderId="26" xfId="10" applyNumberFormat="1" applyFont="1" applyFill="1" applyBorder="1" applyAlignment="1">
      <alignment horizontal="right" vertical="center" wrapText="1"/>
    </xf>
    <xf numFmtId="0" fontId="14" fillId="0" borderId="26" xfId="9" applyFont="1" applyFill="1" applyBorder="1" applyAlignment="1">
      <alignment horizontal="left" wrapText="1"/>
    </xf>
    <xf numFmtId="43" fontId="14" fillId="0" borderId="26" xfId="10" applyNumberFormat="1" applyFont="1" applyFill="1" applyBorder="1" applyAlignment="1">
      <alignment horizontal="center" vertical="center" wrapText="1"/>
    </xf>
    <xf numFmtId="167" fontId="14" fillId="0" borderId="26" xfId="10" applyNumberFormat="1" applyFont="1" applyFill="1" applyBorder="1" applyAlignment="1">
      <alignment horizontal="left" vertical="center" wrapText="1"/>
    </xf>
    <xf numFmtId="43" fontId="15" fillId="0" borderId="26" xfId="10" applyFont="1" applyFill="1" applyBorder="1" applyAlignment="1">
      <alignment horizontal="left" vertical="center" wrapText="1"/>
    </xf>
    <xf numFmtId="43" fontId="15" fillId="0" borderId="26" xfId="10" applyFont="1" applyFill="1" applyBorder="1" applyAlignment="1">
      <alignment horizontal="right" vertical="center"/>
    </xf>
    <xf numFmtId="43" fontId="14" fillId="0" borderId="26" xfId="10" applyFont="1" applyFill="1" applyBorder="1" applyAlignment="1">
      <alignment horizontal="right" vertical="center" wrapText="1"/>
    </xf>
    <xf numFmtId="0" fontId="15" fillId="0" borderId="26" xfId="9" applyFont="1" applyFill="1" applyBorder="1" applyAlignment="1">
      <alignment vertical="center" wrapText="1"/>
    </xf>
    <xf numFmtId="43" fontId="15" fillId="0" borderId="26" xfId="10" applyFont="1" applyFill="1" applyBorder="1" applyAlignment="1">
      <alignment vertical="center" wrapText="1"/>
    </xf>
    <xf numFmtId="0" fontId="14" fillId="0" borderId="26" xfId="9" applyFont="1" applyFill="1" applyBorder="1" applyAlignment="1">
      <alignment vertical="center" wrapText="1"/>
    </xf>
    <xf numFmtId="43" fontId="14" fillId="0" borderId="26" xfId="10" applyFont="1" applyFill="1" applyBorder="1" applyAlignment="1">
      <alignment vertical="center" wrapText="1"/>
    </xf>
    <xf numFmtId="43" fontId="15" fillId="0" borderId="26" xfId="10" applyFont="1" applyFill="1" applyBorder="1" applyAlignment="1">
      <alignment horizontal="right" vertical="center" wrapText="1"/>
    </xf>
    <xf numFmtId="43" fontId="14" fillId="0" borderId="26" xfId="10" applyFont="1" applyFill="1" applyBorder="1" applyAlignment="1">
      <alignment horizontal="left" vertical="center" wrapText="1"/>
    </xf>
    <xf numFmtId="43" fontId="14" fillId="0" borderId="26" xfId="10" applyFont="1" applyFill="1" applyBorder="1" applyAlignment="1">
      <alignment horizontal="right" vertical="center"/>
    </xf>
    <xf numFmtId="167" fontId="15" fillId="0" borderId="26" xfId="10" applyNumberFormat="1" applyFont="1" applyFill="1" applyBorder="1" applyAlignment="1">
      <alignment horizontal="left" vertical="center" wrapText="1"/>
    </xf>
    <xf numFmtId="0" fontId="15" fillId="0" borderId="26" xfId="12" applyFont="1" applyFill="1" applyBorder="1" applyAlignment="1">
      <alignment horizontal="left" vertical="center" wrapText="1"/>
    </xf>
    <xf numFmtId="0" fontId="14" fillId="0" borderId="26" xfId="12" applyFont="1" applyFill="1" applyBorder="1" applyAlignment="1">
      <alignment horizontal="left" vertical="center" wrapText="1"/>
    </xf>
    <xf numFmtId="0" fontId="14" fillId="0" borderId="26" xfId="12" applyFont="1" applyFill="1" applyBorder="1" applyAlignment="1">
      <alignment horizontal="left" wrapText="1"/>
    </xf>
    <xf numFmtId="4" fontId="14" fillId="0" borderId="26" xfId="0" applyNumberFormat="1" applyFont="1" applyFill="1" applyBorder="1" applyAlignment="1">
      <alignment vertical="center" wrapText="1"/>
    </xf>
    <xf numFmtId="41" fontId="15" fillId="0" borderId="26" xfId="2" applyFont="1" applyFill="1" applyBorder="1" applyAlignment="1">
      <alignment horizontal="right" wrapText="1"/>
    </xf>
    <xf numFmtId="0" fontId="15" fillId="0" borderId="26" xfId="12" applyFont="1" applyFill="1" applyBorder="1" applyAlignment="1">
      <alignment horizontal="left" wrapText="1"/>
    </xf>
    <xf numFmtId="43" fontId="15" fillId="0" borderId="26" xfId="9" applyNumberFormat="1" applyFont="1" applyFill="1" applyBorder="1" applyAlignment="1">
      <alignment horizontal="left" vertical="center" wrapText="1"/>
    </xf>
    <xf numFmtId="0" fontId="15" fillId="0" borderId="26" xfId="12" applyFont="1" applyFill="1" applyBorder="1" applyAlignment="1">
      <alignment vertical="center" wrapText="1"/>
    </xf>
    <xf numFmtId="0" fontId="14" fillId="0" borderId="26" xfId="12" applyFont="1" applyFill="1" applyBorder="1" applyAlignment="1">
      <alignment vertical="center" wrapText="1"/>
    </xf>
    <xf numFmtId="0" fontId="14" fillId="0" borderId="26" xfId="0" applyFont="1" applyFill="1" applyBorder="1" applyAlignment="1">
      <alignment horizontal="center"/>
    </xf>
    <xf numFmtId="43" fontId="14" fillId="0" borderId="26" xfId="10" applyFont="1" applyFill="1" applyBorder="1" applyAlignment="1">
      <alignment horizontal="right"/>
    </xf>
    <xf numFmtId="164" fontId="14" fillId="0" borderId="26" xfId="2" applyNumberFormat="1" applyFont="1" applyFill="1" applyBorder="1" applyAlignment="1">
      <alignment horizontal="left" wrapText="1"/>
    </xf>
    <xf numFmtId="2" fontId="14" fillId="0" borderId="26" xfId="11" applyNumberFormat="1" applyFont="1" applyFill="1" applyBorder="1" applyAlignment="1">
      <alignment horizontal="center" wrapText="1"/>
    </xf>
    <xf numFmtId="167" fontId="15" fillId="0" borderId="26" xfId="10" applyNumberFormat="1" applyFont="1" applyFill="1" applyBorder="1" applyAlignment="1">
      <alignment horizontal="left" vertical="center"/>
    </xf>
    <xf numFmtId="4" fontId="15" fillId="0" borderId="26" xfId="0" applyNumberFormat="1" applyFont="1" applyFill="1" applyBorder="1" applyAlignment="1">
      <alignment vertical="center" wrapText="1"/>
    </xf>
    <xf numFmtId="4" fontId="14" fillId="0" borderId="26" xfId="14" applyNumberFormat="1" applyFont="1" applyFill="1" applyBorder="1" applyAlignment="1">
      <alignment vertical="center"/>
    </xf>
    <xf numFmtId="20" fontId="16" fillId="0" borderId="26" xfId="0" applyNumberFormat="1" applyFont="1" applyFill="1" applyBorder="1" applyAlignment="1">
      <alignment vertical="center" wrapText="1"/>
    </xf>
    <xf numFmtId="20" fontId="5" fillId="0" borderId="26" xfId="0" applyNumberFormat="1" applyFont="1" applyFill="1" applyBorder="1" applyAlignment="1">
      <alignment vertical="center" wrapText="1"/>
    </xf>
    <xf numFmtId="4" fontId="14" fillId="0" borderId="26" xfId="15" applyNumberFormat="1" applyFont="1" applyFill="1" applyBorder="1" applyAlignment="1">
      <alignment vertical="center"/>
    </xf>
    <xf numFmtId="4" fontId="14" fillId="0" borderId="26" xfId="16" applyNumberFormat="1" applyFont="1" applyFill="1" applyBorder="1" applyAlignment="1">
      <alignment vertical="center"/>
    </xf>
    <xf numFmtId="4" fontId="14" fillId="0" borderId="26" xfId="17" applyNumberFormat="1" applyFont="1" applyFill="1" applyBorder="1" applyAlignment="1">
      <alignment vertical="center"/>
    </xf>
    <xf numFmtId="4" fontId="14" fillId="0" borderId="26" xfId="18" applyNumberFormat="1" applyFont="1" applyFill="1" applyBorder="1" applyAlignment="1">
      <alignment vertical="center"/>
    </xf>
    <xf numFmtId="4" fontId="14" fillId="0" borderId="26" xfId="19" applyNumberFormat="1" applyFont="1" applyFill="1" applyBorder="1" applyAlignment="1">
      <alignment vertical="center"/>
    </xf>
    <xf numFmtId="4" fontId="14" fillId="0" borderId="26" xfId="20" applyNumberFormat="1" applyFont="1" applyFill="1" applyBorder="1" applyAlignment="1">
      <alignment vertical="center"/>
    </xf>
    <xf numFmtId="4" fontId="14" fillId="0" borderId="26" xfId="21" applyNumberFormat="1" applyFont="1" applyFill="1" applyBorder="1" applyAlignment="1">
      <alignment vertical="center"/>
    </xf>
    <xf numFmtId="4" fontId="14" fillId="0" borderId="26" xfId="22" applyNumberFormat="1" applyFont="1" applyFill="1" applyBorder="1" applyAlignment="1">
      <alignment vertical="center"/>
    </xf>
    <xf numFmtId="4" fontId="14" fillId="0" borderId="26" xfId="23" applyNumberFormat="1" applyFont="1" applyFill="1" applyBorder="1" applyAlignment="1">
      <alignment vertical="center"/>
    </xf>
    <xf numFmtId="4" fontId="14" fillId="0" borderId="26" xfId="24" applyNumberFormat="1" applyFont="1" applyFill="1" applyBorder="1" applyAlignment="1">
      <alignment vertical="center"/>
    </xf>
    <xf numFmtId="4" fontId="14" fillId="0" borderId="26" xfId="25" applyNumberFormat="1" applyFont="1" applyFill="1" applyBorder="1" applyAlignment="1">
      <alignment vertical="center"/>
    </xf>
    <xf numFmtId="4" fontId="14" fillId="0" borderId="26" xfId="26" applyNumberFormat="1" applyFont="1" applyFill="1" applyBorder="1" applyAlignment="1">
      <alignment vertical="center"/>
    </xf>
    <xf numFmtId="4" fontId="14" fillId="0" borderId="26" xfId="27" applyNumberFormat="1" applyFont="1" applyFill="1" applyBorder="1" applyAlignment="1">
      <alignment vertical="center"/>
    </xf>
    <xf numFmtId="2" fontId="20" fillId="0" borderId="26" xfId="3" applyNumberFormat="1" applyFont="1" applyFill="1" applyBorder="1" applyAlignment="1">
      <alignment horizontal="center" vertical="center"/>
    </xf>
    <xf numFmtId="2" fontId="21" fillId="0" borderId="26" xfId="3" applyNumberFormat="1" applyFont="1" applyFill="1" applyBorder="1" applyAlignment="1">
      <alignment horizontal="center" vertical="center"/>
    </xf>
    <xf numFmtId="164" fontId="20" fillId="0" borderId="26" xfId="2" applyNumberFormat="1" applyFont="1" applyFill="1" applyBorder="1" applyAlignment="1">
      <alignment horizontal="left" vertical="center"/>
    </xf>
    <xf numFmtId="164" fontId="21" fillId="0" borderId="26" xfId="2" applyNumberFormat="1" applyFont="1" applyFill="1" applyBorder="1" applyAlignment="1">
      <alignment horizontal="left" vertical="center"/>
    </xf>
    <xf numFmtId="0" fontId="15" fillId="0" borderId="26" xfId="29" applyFont="1" applyFill="1" applyBorder="1" applyAlignment="1">
      <alignment vertical="center"/>
    </xf>
    <xf numFmtId="41" fontId="15" fillId="0" borderId="26" xfId="11" applyFont="1" applyFill="1" applyBorder="1" applyAlignment="1">
      <alignment vertical="center"/>
    </xf>
    <xf numFmtId="41" fontId="15" fillId="0" borderId="26" xfId="29" applyNumberFormat="1" applyFont="1" applyFill="1" applyBorder="1" applyAlignment="1">
      <alignment vertical="center"/>
    </xf>
    <xf numFmtId="0" fontId="15" fillId="0" borderId="26" xfId="0" applyFont="1" applyFill="1" applyBorder="1" applyAlignment="1">
      <alignment vertical="top" wrapText="1"/>
    </xf>
    <xf numFmtId="41" fontId="14" fillId="0" borderId="26" xfId="2" applyNumberFormat="1" applyFont="1" applyFill="1" applyBorder="1" applyAlignment="1"/>
    <xf numFmtId="0" fontId="14" fillId="0" borderId="26" xfId="0" applyFont="1" applyFill="1" applyBorder="1" applyAlignment="1">
      <alignment vertical="top" wrapText="1"/>
    </xf>
    <xf numFmtId="39" fontId="14" fillId="0" borderId="26" xfId="0" applyNumberFormat="1" applyFont="1" applyFill="1" applyBorder="1" applyAlignment="1">
      <alignment vertical="top"/>
    </xf>
    <xf numFmtId="39" fontId="15" fillId="0" borderId="26" xfId="0" applyNumberFormat="1" applyFont="1" applyFill="1" applyBorder="1" applyAlignment="1">
      <alignment vertical="top" wrapText="1"/>
    </xf>
    <xf numFmtId="39" fontId="14" fillId="0" borderId="26" xfId="0" applyNumberFormat="1" applyFont="1" applyFill="1" applyBorder="1" applyAlignment="1">
      <alignment vertical="top" wrapText="1"/>
    </xf>
    <xf numFmtId="39" fontId="14" fillId="0" borderId="26" xfId="0" applyNumberFormat="1" applyFont="1" applyFill="1" applyBorder="1" applyAlignment="1">
      <alignment vertical="center" wrapText="1"/>
    </xf>
    <xf numFmtId="168" fontId="14" fillId="0" borderId="26" xfId="0" applyNumberFormat="1" applyFont="1" applyFill="1" applyBorder="1" applyAlignment="1">
      <alignment vertical="top" wrapText="1"/>
    </xf>
    <xf numFmtId="0" fontId="14" fillId="0" borderId="26" xfId="0" applyFont="1" applyFill="1" applyBorder="1" applyAlignment="1">
      <alignment vertical="top"/>
    </xf>
    <xf numFmtId="39" fontId="15" fillId="0" borderId="26" xfId="0" applyNumberFormat="1" applyFont="1" applyFill="1" applyBorder="1" applyAlignment="1">
      <alignment vertical="top"/>
    </xf>
    <xf numFmtId="0" fontId="15" fillId="0" borderId="26" xfId="0" applyFont="1" applyFill="1" applyBorder="1" applyAlignment="1"/>
    <xf numFmtId="41" fontId="15" fillId="0" borderId="26" xfId="0" applyNumberFormat="1" applyFont="1" applyFill="1" applyBorder="1" applyAlignment="1">
      <alignment vertical="top" wrapText="1"/>
    </xf>
    <xf numFmtId="41" fontId="14" fillId="0" borderId="26" xfId="2" applyFont="1" applyFill="1" applyBorder="1" applyAlignment="1">
      <alignment vertical="top" wrapText="1"/>
    </xf>
    <xf numFmtId="41" fontId="14" fillId="0" borderId="26" xfId="0" applyNumberFormat="1" applyFont="1" applyFill="1" applyBorder="1" applyAlignment="1">
      <alignment vertical="top" wrapText="1"/>
    </xf>
    <xf numFmtId="39" fontId="15" fillId="0" borderId="26" xfId="0" applyNumberFormat="1" applyFont="1" applyFill="1" applyBorder="1" applyAlignment="1">
      <alignment vertical="center" wrapText="1"/>
    </xf>
    <xf numFmtId="0" fontId="15" fillId="0" borderId="26" xfId="29" applyFont="1" applyFill="1" applyBorder="1" applyAlignment="1">
      <alignment vertical="top"/>
    </xf>
    <xf numFmtId="41" fontId="15" fillId="0" borderId="26" xfId="2" applyFont="1" applyFill="1" applyBorder="1" applyAlignment="1">
      <alignment vertical="top" wrapText="1"/>
    </xf>
    <xf numFmtId="39" fontId="15" fillId="0" borderId="26" xfId="0" applyNumberFormat="1" applyFont="1" applyFill="1" applyBorder="1" applyAlignment="1"/>
    <xf numFmtId="41" fontId="15" fillId="0" borderId="26" xfId="2" applyFont="1" applyFill="1" applyBorder="1" applyAlignment="1"/>
    <xf numFmtId="39" fontId="14" fillId="0" borderId="26" xfId="9" applyNumberFormat="1" applyFont="1" applyFill="1" applyBorder="1" applyAlignment="1">
      <alignment vertical="top"/>
    </xf>
    <xf numFmtId="0" fontId="15" fillId="0" borderId="26" xfId="9" applyFont="1" applyFill="1" applyBorder="1" applyAlignment="1">
      <alignment vertical="top" wrapText="1"/>
    </xf>
    <xf numFmtId="39" fontId="15" fillId="0" borderId="26" xfId="9" applyNumberFormat="1" applyFont="1" applyFill="1" applyBorder="1" applyAlignment="1">
      <alignment vertical="top" wrapText="1"/>
    </xf>
    <xf numFmtId="164" fontId="16" fillId="0" borderId="26" xfId="2" quotePrefix="1" applyNumberFormat="1" applyFont="1" applyFill="1" applyBorder="1" applyAlignment="1">
      <alignment horizontal="left" vertical="center" wrapText="1"/>
    </xf>
    <xf numFmtId="2" fontId="16" fillId="0" borderId="26" xfId="0" quotePrefix="1" applyNumberFormat="1" applyFont="1" applyFill="1" applyBorder="1" applyAlignment="1">
      <alignment horizontal="center" vertical="center" wrapText="1"/>
    </xf>
    <xf numFmtId="164" fontId="5" fillId="0" borderId="26" xfId="2" quotePrefix="1" applyNumberFormat="1" applyFont="1" applyFill="1" applyBorder="1" applyAlignment="1">
      <alignment horizontal="left" vertical="center" wrapText="1"/>
    </xf>
    <xf numFmtId="2" fontId="5" fillId="0" borderId="26" xfId="0" quotePrefix="1" applyNumberFormat="1" applyFont="1" applyFill="1" applyBorder="1" applyAlignment="1">
      <alignment horizontal="center" vertical="center" wrapText="1"/>
    </xf>
    <xf numFmtId="41" fontId="14" fillId="0" borderId="26" xfId="0" applyNumberFormat="1" applyFont="1" applyFill="1" applyBorder="1" applyAlignment="1">
      <alignment vertical="center"/>
    </xf>
    <xf numFmtId="41" fontId="15" fillId="0" borderId="26" xfId="2" applyNumberFormat="1" applyFont="1" applyFill="1" applyBorder="1" applyAlignment="1">
      <alignment vertical="center" wrapText="1"/>
    </xf>
    <xf numFmtId="41" fontId="14" fillId="0" borderId="26" xfId="2" applyNumberFormat="1" applyFont="1" applyFill="1" applyBorder="1" applyAlignment="1">
      <alignment vertical="center" wrapText="1"/>
    </xf>
    <xf numFmtId="41" fontId="14" fillId="0" borderId="26" xfId="6" applyFont="1" applyFill="1" applyBorder="1" applyAlignment="1">
      <alignment vertical="center" wrapText="1"/>
    </xf>
    <xf numFmtId="41" fontId="14" fillId="0" borderId="26" xfId="6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left" vertical="center" wrapText="1"/>
    </xf>
    <xf numFmtId="41" fontId="16" fillId="0" borderId="26" xfId="6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 wrapText="1"/>
    </xf>
    <xf numFmtId="41" fontId="5" fillId="0" borderId="26" xfId="6" applyFont="1" applyFill="1" applyBorder="1" applyAlignment="1">
      <alignment horizontal="left" vertical="center"/>
    </xf>
    <xf numFmtId="41" fontId="5" fillId="0" borderId="26" xfId="6" applyFont="1" applyFill="1" applyBorder="1" applyAlignment="1">
      <alignment vertical="center"/>
    </xf>
    <xf numFmtId="0" fontId="15" fillId="0" borderId="26" xfId="12" applyFont="1" applyFill="1" applyBorder="1" applyAlignment="1">
      <alignment vertical="center"/>
    </xf>
    <xf numFmtId="0" fontId="29" fillId="0" borderId="26" xfId="12" applyFont="1" applyFill="1" applyBorder="1" applyAlignment="1">
      <alignment horizontal="left" vertical="center" wrapText="1"/>
    </xf>
    <xf numFmtId="0" fontId="14" fillId="0" borderId="26" xfId="12" applyFont="1" applyFill="1" applyBorder="1" applyAlignment="1">
      <alignment vertical="center"/>
    </xf>
    <xf numFmtId="0" fontId="29" fillId="0" borderId="26" xfId="12" applyFont="1" applyFill="1" applyBorder="1" applyAlignment="1">
      <alignment vertical="center"/>
    </xf>
    <xf numFmtId="0" fontId="14" fillId="0" borderId="26" xfId="12" applyFont="1" applyFill="1" applyBorder="1" applyAlignment="1">
      <alignment horizontal="left" vertical="center"/>
    </xf>
    <xf numFmtId="0" fontId="29" fillId="0" borderId="26" xfId="12" applyFont="1" applyFill="1" applyBorder="1" applyAlignment="1">
      <alignment horizontal="left" vertical="center"/>
    </xf>
    <xf numFmtId="39" fontId="14" fillId="0" borderId="26" xfId="12" applyNumberFormat="1" applyFont="1" applyFill="1" applyBorder="1" applyAlignment="1">
      <alignment horizontal="right" vertical="center"/>
    </xf>
    <xf numFmtId="0" fontId="15" fillId="0" borderId="26" xfId="12" applyFont="1" applyFill="1" applyBorder="1" applyAlignment="1">
      <alignment horizontal="left" vertical="center"/>
    </xf>
    <xf numFmtId="0" fontId="6" fillId="0" borderId="26" xfId="12" applyFont="1" applyFill="1" applyBorder="1" applyAlignment="1">
      <alignment vertical="center"/>
    </xf>
    <xf numFmtId="0" fontId="14" fillId="0" borderId="41" xfId="0" applyFont="1" applyFill="1" applyBorder="1" applyAlignment="1">
      <alignment horizontal="center" vertical="center"/>
    </xf>
    <xf numFmtId="41" fontId="14" fillId="3" borderId="26" xfId="6" applyFont="1" applyFill="1" applyBorder="1" applyAlignment="1">
      <alignment horizontal="right" vertical="center" wrapText="1"/>
    </xf>
    <xf numFmtId="41" fontId="14" fillId="0" borderId="26" xfId="6" applyFont="1" applyBorder="1" applyAlignment="1">
      <alignment horizontal="right" vertical="center" wrapText="1"/>
    </xf>
    <xf numFmtId="41" fontId="5" fillId="3" borderId="26" xfId="8" applyNumberFormat="1" applyFont="1" applyFill="1" applyBorder="1" applyAlignment="1">
      <alignment horizontal="left" vertical="center" indent="1"/>
    </xf>
    <xf numFmtId="41" fontId="5" fillId="0" borderId="26" xfId="8" applyNumberFormat="1" applyFont="1" applyFill="1" applyBorder="1" applyAlignment="1">
      <alignment horizontal="left" vertical="center" indent="1"/>
    </xf>
    <xf numFmtId="164" fontId="15" fillId="0" borderId="24" xfId="2" applyNumberFormat="1" applyFont="1" applyFill="1" applyBorder="1" applyAlignment="1">
      <alignment horizontal="center" vertical="center" wrapText="1"/>
    </xf>
    <xf numFmtId="41" fontId="16" fillId="0" borderId="26" xfId="6" applyFont="1" applyFill="1" applyBorder="1" applyAlignment="1">
      <alignment vertical="center"/>
    </xf>
    <xf numFmtId="0" fontId="15" fillId="0" borderId="26" xfId="9" applyFont="1" applyFill="1" applyBorder="1" applyAlignment="1">
      <alignment horizontal="left" wrapText="1"/>
    </xf>
    <xf numFmtId="2" fontId="15" fillId="0" borderId="26" xfId="32" quotePrefix="1" applyNumberFormat="1" applyFont="1" applyFill="1" applyBorder="1" applyAlignment="1">
      <alignment horizontal="center" vertical="center" wrapText="1"/>
    </xf>
    <xf numFmtId="2" fontId="15" fillId="0" borderId="26" xfId="32" applyNumberFormat="1" applyFont="1" applyFill="1" applyBorder="1" applyAlignment="1">
      <alignment horizontal="center" vertical="center" wrapText="1"/>
    </xf>
    <xf numFmtId="2" fontId="14" fillId="0" borderId="26" xfId="32" quotePrefix="1" applyNumberFormat="1" applyFont="1" applyFill="1" applyBorder="1" applyAlignment="1">
      <alignment horizontal="center" vertical="center" wrapText="1"/>
    </xf>
    <xf numFmtId="2" fontId="14" fillId="0" borderId="26" xfId="32" applyNumberFormat="1" applyFont="1" applyFill="1" applyBorder="1" applyAlignment="1">
      <alignment horizontal="center" vertical="center" wrapText="1"/>
    </xf>
    <xf numFmtId="2" fontId="5" fillId="0" borderId="26" xfId="3" applyNumberFormat="1" applyFont="1" applyFill="1" applyBorder="1" applyAlignment="1">
      <alignment horizontal="center"/>
    </xf>
    <xf numFmtId="2" fontId="15" fillId="0" borderId="26" xfId="8" applyNumberFormat="1" applyFont="1" applyFill="1" applyBorder="1" applyAlignment="1">
      <alignment horizontal="center" vertical="center" wrapText="1"/>
    </xf>
    <xf numFmtId="2" fontId="14" fillId="0" borderId="26" xfId="8" applyNumberFormat="1" applyFont="1" applyFill="1" applyBorder="1" applyAlignment="1">
      <alignment horizontal="center" vertical="center" wrapText="1"/>
    </xf>
    <xf numFmtId="2" fontId="14" fillId="0" borderId="26" xfId="3" applyNumberFormat="1" applyFont="1" applyFill="1" applyBorder="1" applyAlignment="1">
      <alignment horizontal="center" vertical="center"/>
    </xf>
    <xf numFmtId="164" fontId="14" fillId="0" borderId="0" xfId="0" applyNumberFormat="1" applyFont="1" applyFill="1" applyAlignment="1">
      <alignment vertical="center"/>
    </xf>
    <xf numFmtId="41" fontId="15" fillId="0" borderId="0" xfId="2" applyFont="1" applyFill="1" applyBorder="1" applyAlignment="1">
      <alignment horizontal="left" vertical="center" wrapText="1"/>
    </xf>
    <xf numFmtId="0" fontId="32" fillId="0" borderId="0" xfId="0" quotePrefix="1" applyFont="1" applyAlignment="1">
      <alignment vertical="center"/>
    </xf>
    <xf numFmtId="0" fontId="14" fillId="0" borderId="0" xfId="0" quotePrefix="1" applyFont="1" applyFill="1" applyAlignment="1">
      <alignment horizontal="left" vertical="center" wrapText="1"/>
    </xf>
    <xf numFmtId="41" fontId="16" fillId="0" borderId="26" xfId="2" applyFont="1" applyFill="1" applyBorder="1" applyAlignment="1">
      <alignment vertical="center"/>
    </xf>
    <xf numFmtId="41" fontId="5" fillId="0" borderId="26" xfId="2" applyFont="1" applyFill="1" applyBorder="1" applyAlignment="1">
      <alignment vertical="center"/>
    </xf>
    <xf numFmtId="41" fontId="16" fillId="0" borderId="26" xfId="2" applyFont="1" applyFill="1" applyBorder="1" applyAlignment="1">
      <alignment horizontal="left" vertical="center"/>
    </xf>
    <xf numFmtId="2" fontId="16" fillId="0" borderId="26" xfId="8" applyNumberFormat="1" applyFont="1" applyFill="1" applyBorder="1" applyAlignment="1">
      <alignment horizontal="center" vertical="center" wrapText="1"/>
    </xf>
    <xf numFmtId="43" fontId="5" fillId="0" borderId="26" xfId="8" applyFont="1" applyFill="1" applyBorder="1" applyAlignment="1">
      <alignment vertical="center" wrapText="1"/>
    </xf>
    <xf numFmtId="2" fontId="5" fillId="0" borderId="26" xfId="8" applyNumberFormat="1" applyFont="1" applyFill="1" applyBorder="1" applyAlignment="1">
      <alignment horizontal="center" vertical="center" wrapText="1"/>
    </xf>
    <xf numFmtId="0" fontId="15" fillId="0" borderId="26" xfId="28" applyFont="1" applyFill="1" applyBorder="1" applyAlignment="1">
      <alignment vertical="center"/>
    </xf>
    <xf numFmtId="0" fontId="14" fillId="0" borderId="26" xfId="28" applyFont="1" applyFill="1" applyBorder="1" applyAlignment="1">
      <alignment vertical="center"/>
    </xf>
    <xf numFmtId="41" fontId="14" fillId="0" borderId="26" xfId="2" applyNumberFormat="1" applyFont="1" applyFill="1" applyBorder="1" applyAlignment="1">
      <alignment vertical="center"/>
    </xf>
    <xf numFmtId="166" fontId="5" fillId="0" borderId="26" xfId="6" applyNumberFormat="1" applyFont="1" applyFill="1" applyBorder="1" applyAlignment="1">
      <alignment vertical="center"/>
    </xf>
    <xf numFmtId="0" fontId="15" fillId="0" borderId="43" xfId="0" quotePrefix="1" applyFont="1" applyFill="1" applyBorder="1" applyAlignment="1">
      <alignment horizontal="center" vertical="center"/>
    </xf>
    <xf numFmtId="49" fontId="15" fillId="0" borderId="43" xfId="0" applyNumberFormat="1" applyFont="1" applyFill="1" applyBorder="1" applyAlignment="1">
      <alignment horizontal="center" vertical="center"/>
    </xf>
    <xf numFmtId="0" fontId="14" fillId="0" borderId="18" xfId="0" quotePrefix="1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2" fontId="14" fillId="0" borderId="18" xfId="0" applyNumberFormat="1" applyFont="1" applyFill="1" applyBorder="1" applyAlignment="1">
      <alignment horizontal="center" vertical="center"/>
    </xf>
    <xf numFmtId="41" fontId="15" fillId="0" borderId="39" xfId="2" applyNumberFormat="1" applyFont="1" applyFill="1" applyBorder="1" applyAlignment="1">
      <alignment horizontal="left" vertical="center"/>
    </xf>
    <xf numFmtId="2" fontId="15" fillId="0" borderId="39" xfId="2" applyNumberFormat="1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vertical="center"/>
    </xf>
    <xf numFmtId="41" fontId="14" fillId="0" borderId="26" xfId="2" applyNumberFormat="1" applyFont="1" applyFill="1" applyBorder="1" applyAlignment="1">
      <alignment horizontal="left" vertical="center"/>
    </xf>
    <xf numFmtId="41" fontId="15" fillId="0" borderId="26" xfId="2" applyNumberFormat="1" applyFont="1" applyFill="1" applyBorder="1" applyAlignment="1">
      <alignment horizontal="left" vertical="center"/>
    </xf>
    <xf numFmtId="37" fontId="14" fillId="0" borderId="26" xfId="5" applyNumberFormat="1" applyFont="1" applyFill="1" applyBorder="1" applyAlignment="1">
      <alignment horizontal="right" vertical="center"/>
    </xf>
    <xf numFmtId="41" fontId="15" fillId="0" borderId="26" xfId="2" applyNumberFormat="1" applyFont="1" applyFill="1" applyBorder="1" applyAlignment="1">
      <alignment horizontal="right" vertical="center"/>
    </xf>
    <xf numFmtId="166" fontId="20" fillId="0" borderId="26" xfId="6" applyNumberFormat="1" applyFont="1" applyFill="1" applyBorder="1" applyAlignment="1">
      <alignment vertical="center" wrapText="1"/>
    </xf>
    <xf numFmtId="166" fontId="21" fillId="0" borderId="26" xfId="6" applyNumberFormat="1" applyFont="1" applyFill="1" applyBorder="1" applyAlignment="1">
      <alignment vertical="center" wrapText="1"/>
    </xf>
    <xf numFmtId="41" fontId="15" fillId="0" borderId="26" xfId="2" quotePrefix="1" applyNumberFormat="1" applyFont="1" applyFill="1" applyBorder="1" applyAlignment="1">
      <alignment vertical="center"/>
    </xf>
    <xf numFmtId="0" fontId="16" fillId="0" borderId="26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41" fontId="16" fillId="0" borderId="26" xfId="0" applyNumberFormat="1" applyFont="1" applyFill="1" applyBorder="1" applyAlignment="1">
      <alignment horizontal="left" vertical="center"/>
    </xf>
    <xf numFmtId="41" fontId="5" fillId="0" borderId="26" xfId="0" applyNumberFormat="1" applyFont="1" applyFill="1" applyBorder="1" applyAlignment="1">
      <alignment horizontal="left" vertical="center"/>
    </xf>
    <xf numFmtId="41" fontId="14" fillId="0" borderId="26" xfId="6" applyFont="1" applyFill="1" applyBorder="1" applyAlignment="1">
      <alignment horizontal="left" vertical="center"/>
    </xf>
    <xf numFmtId="41" fontId="22" fillId="0" borderId="26" xfId="6" applyFont="1" applyFill="1" applyBorder="1" applyAlignment="1">
      <alignment horizontal="left" vertical="center"/>
    </xf>
    <xf numFmtId="0" fontId="15" fillId="0" borderId="26" xfId="7" applyNumberFormat="1" applyFont="1" applyFill="1" applyBorder="1" applyAlignment="1">
      <alignment horizontal="left" vertical="center"/>
    </xf>
    <xf numFmtId="41" fontId="15" fillId="0" borderId="26" xfId="2" applyNumberFormat="1" applyFont="1" applyFill="1" applyBorder="1" applyAlignment="1">
      <alignment horizontal="right" vertical="center" wrapText="1"/>
    </xf>
    <xf numFmtId="0" fontId="14" fillId="0" borderId="26" xfId="7" applyFont="1" applyFill="1" applyBorder="1" applyAlignment="1">
      <alignment vertical="center" wrapText="1"/>
    </xf>
    <xf numFmtId="0" fontId="15" fillId="0" borderId="26" xfId="7" applyFont="1" applyFill="1" applyBorder="1" applyAlignment="1">
      <alignment vertical="center" wrapText="1"/>
    </xf>
    <xf numFmtId="167" fontId="5" fillId="0" borderId="26" xfId="8" applyNumberFormat="1" applyFont="1" applyFill="1" applyBorder="1" applyAlignment="1">
      <alignment horizontal="right" vertical="center"/>
    </xf>
    <xf numFmtId="0" fontId="15" fillId="0" borderId="26" xfId="5" applyFont="1" applyFill="1" applyBorder="1" applyAlignment="1">
      <alignment vertical="center" wrapText="1"/>
    </xf>
    <xf numFmtId="0" fontId="14" fillId="0" borderId="26" xfId="5" applyFont="1" applyFill="1" applyBorder="1" applyAlignment="1">
      <alignment vertical="center" wrapText="1"/>
    </xf>
    <xf numFmtId="2" fontId="14" fillId="0" borderId="26" xfId="8" applyNumberFormat="1" applyFont="1" applyFill="1" applyBorder="1" applyAlignment="1">
      <alignment horizontal="center" vertical="center"/>
    </xf>
    <xf numFmtId="166" fontId="14" fillId="0" borderId="26" xfId="6" applyNumberFormat="1" applyFont="1" applyFill="1" applyBorder="1" applyAlignment="1">
      <alignment vertical="center"/>
    </xf>
    <xf numFmtId="41" fontId="14" fillId="0" borderId="26" xfId="2" applyNumberFormat="1" applyFont="1" applyFill="1" applyBorder="1" applyAlignment="1">
      <alignment horizontal="right" vertical="center" wrapText="1"/>
    </xf>
    <xf numFmtId="41" fontId="15" fillId="0" borderId="26" xfId="2" applyNumberFormat="1" applyFont="1" applyFill="1" applyBorder="1" applyAlignment="1">
      <alignment horizontal="center" vertical="center"/>
    </xf>
    <xf numFmtId="41" fontId="14" fillId="0" borderId="26" xfId="2" applyNumberFormat="1" applyFont="1" applyFill="1" applyBorder="1" applyAlignment="1">
      <alignment horizontal="center" vertical="center"/>
    </xf>
    <xf numFmtId="41" fontId="14" fillId="0" borderId="26" xfId="2" applyNumberFormat="1" applyFont="1" applyFill="1" applyBorder="1" applyAlignment="1">
      <alignment horizontal="right" vertical="center"/>
    </xf>
    <xf numFmtId="41" fontId="15" fillId="0" borderId="26" xfId="2" applyNumberFormat="1" applyFont="1" applyFill="1" applyBorder="1" applyAlignment="1" applyProtection="1">
      <alignment horizontal="right" vertical="center"/>
    </xf>
    <xf numFmtId="41" fontId="15" fillId="0" borderId="26" xfId="0" applyNumberFormat="1" applyFont="1" applyFill="1" applyBorder="1" applyAlignment="1">
      <alignment vertical="center"/>
    </xf>
    <xf numFmtId="41" fontId="14" fillId="0" borderId="26" xfId="0" applyNumberFormat="1" applyFont="1" applyFill="1" applyBorder="1" applyAlignment="1">
      <alignment horizontal="left" vertical="center"/>
    </xf>
    <xf numFmtId="166" fontId="15" fillId="0" borderId="26" xfId="6" applyNumberFormat="1" applyFont="1" applyFill="1" applyBorder="1" applyAlignment="1">
      <alignment vertical="center"/>
    </xf>
    <xf numFmtId="41" fontId="15" fillId="0" borderId="26" xfId="2" applyNumberFormat="1" applyFont="1" applyFill="1" applyBorder="1" applyAlignment="1" applyProtection="1">
      <alignment vertical="center"/>
    </xf>
    <xf numFmtId="41" fontId="14" fillId="0" borderId="26" xfId="2" applyNumberFormat="1" applyFont="1" applyFill="1" applyBorder="1" applyAlignment="1" applyProtection="1">
      <alignment vertical="center"/>
    </xf>
    <xf numFmtId="0" fontId="15" fillId="0" borderId="26" xfId="13" applyNumberFormat="1" applyFont="1" applyFill="1" applyBorder="1" applyAlignment="1">
      <alignment vertical="center" wrapText="1"/>
    </xf>
    <xf numFmtId="41" fontId="20" fillId="0" borderId="26" xfId="0" applyNumberFormat="1" applyFont="1" applyFill="1" applyBorder="1" applyAlignment="1">
      <alignment vertical="center"/>
    </xf>
    <xf numFmtId="41" fontId="21" fillId="0" borderId="26" xfId="0" applyNumberFormat="1" applyFont="1" applyFill="1" applyBorder="1" applyAlignment="1">
      <alignment vertical="center"/>
    </xf>
    <xf numFmtId="0" fontId="21" fillId="0" borderId="26" xfId="0" applyFont="1" applyFill="1" applyBorder="1" applyAlignment="1">
      <alignment vertical="center"/>
    </xf>
    <xf numFmtId="41" fontId="5" fillId="0" borderId="26" xfId="0" applyNumberFormat="1" applyFont="1" applyFill="1" applyBorder="1" applyAlignment="1">
      <alignment vertical="center"/>
    </xf>
    <xf numFmtId="2" fontId="15" fillId="0" borderId="26" xfId="2" applyNumberFormat="1" applyFont="1" applyFill="1" applyBorder="1" applyAlignment="1">
      <alignment horizontal="center" vertical="center" wrapText="1"/>
    </xf>
    <xf numFmtId="0" fontId="15" fillId="0" borderId="26" xfId="29" applyFont="1" applyFill="1" applyBorder="1" applyAlignment="1">
      <alignment horizontal="left" vertical="center"/>
    </xf>
    <xf numFmtId="166" fontId="16" fillId="0" borderId="26" xfId="11" applyNumberFormat="1" applyFont="1" applyFill="1" applyBorder="1" applyAlignment="1">
      <alignment horizontal="left" vertical="center"/>
    </xf>
    <xf numFmtId="41" fontId="15" fillId="0" borderId="26" xfId="2" quotePrefix="1" applyNumberFormat="1" applyFont="1" applyFill="1" applyBorder="1" applyAlignment="1">
      <alignment horizontal="right" vertical="center" wrapText="1"/>
    </xf>
    <xf numFmtId="41" fontId="15" fillId="0" borderId="26" xfId="2" quotePrefix="1" applyNumberFormat="1" applyFont="1" applyFill="1" applyBorder="1" applyAlignment="1">
      <alignment horizontal="center" vertical="center" wrapText="1"/>
    </xf>
    <xf numFmtId="41" fontId="16" fillId="0" borderId="26" xfId="0" quotePrefix="1" applyNumberFormat="1" applyFont="1" applyFill="1" applyBorder="1" applyAlignment="1">
      <alignment horizontal="center" vertical="center" wrapText="1"/>
    </xf>
    <xf numFmtId="41" fontId="14" fillId="0" borderId="26" xfId="2" quotePrefix="1" applyNumberFormat="1" applyFont="1" applyFill="1" applyBorder="1" applyAlignment="1">
      <alignment horizontal="center" vertical="center" wrapText="1"/>
    </xf>
    <xf numFmtId="41" fontId="5" fillId="0" borderId="26" xfId="6" applyNumberFormat="1" applyFont="1" applyFill="1" applyBorder="1" applyAlignment="1">
      <alignment vertical="center"/>
    </xf>
    <xf numFmtId="41" fontId="16" fillId="0" borderId="26" xfId="6" quotePrefix="1" applyFont="1" applyFill="1" applyBorder="1" applyAlignment="1">
      <alignment horizontal="center" vertical="center" wrapText="1"/>
    </xf>
    <xf numFmtId="41" fontId="16" fillId="0" borderId="26" xfId="6" applyNumberFormat="1" applyFont="1" applyFill="1" applyBorder="1" applyAlignment="1">
      <alignment vertical="center"/>
    </xf>
    <xf numFmtId="166" fontId="16" fillId="0" borderId="26" xfId="0" applyNumberFormat="1" applyFont="1" applyFill="1" applyBorder="1" applyAlignment="1">
      <alignment horizontal="left" vertical="center"/>
    </xf>
    <xf numFmtId="41" fontId="16" fillId="0" borderId="26" xfId="0" applyNumberFormat="1" applyFont="1" applyFill="1" applyBorder="1" applyAlignment="1">
      <alignment horizontal="right" vertical="center"/>
    </xf>
    <xf numFmtId="41" fontId="5" fillId="0" borderId="26" xfId="0" applyNumberFormat="1" applyFont="1" applyFill="1" applyBorder="1" applyAlignment="1">
      <alignment horizontal="right"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right" vertical="center"/>
    </xf>
    <xf numFmtId="41" fontId="15" fillId="0" borderId="24" xfId="2" applyNumberFormat="1" applyFont="1" applyFill="1" applyBorder="1" applyAlignment="1">
      <alignment vertical="center"/>
    </xf>
    <xf numFmtId="2" fontId="15" fillId="0" borderId="24" xfId="2" applyNumberFormat="1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39" xfId="0" applyFont="1" applyFill="1" applyBorder="1" applyAlignment="1">
      <alignment horizontal="center" vertical="center"/>
    </xf>
    <xf numFmtId="41" fontId="32" fillId="0" borderId="0" xfId="2" quotePrefix="1" applyFont="1" applyBorder="1" applyAlignment="1">
      <alignment horizontal="center" vertical="center"/>
    </xf>
    <xf numFmtId="164" fontId="15" fillId="0" borderId="26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39" xfId="0" applyFont="1" applyFill="1" applyBorder="1" applyAlignment="1">
      <alignment horizontal="center" vertical="center"/>
    </xf>
    <xf numFmtId="2" fontId="15" fillId="0" borderId="18" xfId="2" applyNumberFormat="1" applyFont="1" applyFill="1" applyBorder="1" applyAlignment="1">
      <alignment horizontal="center" vertical="center" wrapText="1"/>
    </xf>
    <xf numFmtId="2" fontId="15" fillId="0" borderId="48" xfId="2" applyNumberFormat="1" applyFont="1" applyFill="1" applyBorder="1" applyAlignment="1">
      <alignment horizontal="center" vertical="center"/>
    </xf>
    <xf numFmtId="0" fontId="6" fillId="0" borderId="0" xfId="0" quotePrefix="1" applyFont="1" applyFill="1" applyAlignment="1">
      <alignment horizontal="left" vertical="center" wrapText="1"/>
    </xf>
    <xf numFmtId="0" fontId="11" fillId="0" borderId="39" xfId="0" applyFont="1" applyFill="1" applyBorder="1" applyAlignment="1">
      <alignment horizontal="left" vertical="center"/>
    </xf>
    <xf numFmtId="41" fontId="15" fillId="0" borderId="39" xfId="2" applyFont="1" applyFill="1" applyBorder="1" applyAlignment="1">
      <alignment vertical="center"/>
    </xf>
    <xf numFmtId="41" fontId="11" fillId="0" borderId="39" xfId="2" applyFont="1" applyFill="1" applyBorder="1" applyAlignment="1">
      <alignment vertical="center"/>
    </xf>
    <xf numFmtId="166" fontId="11" fillId="0" borderId="39" xfId="2" applyNumberFormat="1" applyFont="1" applyFill="1" applyBorder="1" applyAlignment="1">
      <alignment vertical="center"/>
    </xf>
    <xf numFmtId="0" fontId="11" fillId="0" borderId="39" xfId="0" applyFont="1" applyFill="1" applyBorder="1" applyAlignment="1">
      <alignment vertical="center"/>
    </xf>
    <xf numFmtId="166" fontId="15" fillId="0" borderId="26" xfId="0" applyNumberFormat="1" applyFont="1" applyFill="1" applyBorder="1" applyAlignment="1">
      <alignment vertical="center"/>
    </xf>
    <xf numFmtId="166" fontId="14" fillId="0" borderId="26" xfId="0" applyNumberFormat="1" applyFont="1" applyFill="1" applyBorder="1" applyAlignment="1">
      <alignment horizontal="center" vertical="center"/>
    </xf>
    <xf numFmtId="166" fontId="15" fillId="0" borderId="26" xfId="0" applyNumberFormat="1" applyFont="1" applyFill="1" applyBorder="1" applyAlignment="1">
      <alignment horizontal="center" vertical="center"/>
    </xf>
    <xf numFmtId="41" fontId="11" fillId="0" borderId="26" xfId="31" applyFont="1" applyFill="1" applyBorder="1" applyAlignment="1">
      <alignment horizontal="left" vertical="center"/>
    </xf>
    <xf numFmtId="41" fontId="6" fillId="0" borderId="26" xfId="31" applyFont="1" applyFill="1" applyBorder="1" applyAlignment="1">
      <alignment horizontal="left" vertical="center"/>
    </xf>
    <xf numFmtId="41" fontId="11" fillId="0" borderId="26" xfId="4" applyFont="1" applyFill="1" applyBorder="1" applyAlignment="1">
      <alignment vertical="center"/>
    </xf>
    <xf numFmtId="41" fontId="11" fillId="0" borderId="26" xfId="2" applyFont="1" applyFill="1" applyBorder="1" applyAlignment="1">
      <alignment horizontal="left" vertical="center"/>
    </xf>
    <xf numFmtId="166" fontId="16" fillId="0" borderId="26" xfId="2" applyNumberFormat="1" applyFont="1" applyFill="1" applyBorder="1" applyAlignment="1">
      <alignment horizontal="left" vertical="center"/>
    </xf>
    <xf numFmtId="41" fontId="11" fillId="0" borderId="26" xfId="4" applyFont="1" applyFill="1" applyBorder="1" applyAlignment="1">
      <alignment vertical="center" wrapText="1"/>
    </xf>
    <xf numFmtId="41" fontId="11" fillId="0" borderId="26" xfId="4" applyNumberFormat="1" applyFont="1" applyFill="1" applyBorder="1" applyAlignment="1">
      <alignment vertical="center" wrapText="1"/>
    </xf>
    <xf numFmtId="41" fontId="6" fillId="0" borderId="26" xfId="4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left" vertical="center" wrapText="1"/>
    </xf>
    <xf numFmtId="41" fontId="11" fillId="0" borderId="26" xfId="4" applyFont="1" applyFill="1" applyBorder="1" applyAlignment="1">
      <alignment horizontal="left" vertical="center"/>
    </xf>
    <xf numFmtId="49" fontId="6" fillId="0" borderId="26" xfId="0" applyNumberFormat="1" applyFont="1" applyFill="1" applyBorder="1" applyAlignment="1">
      <alignment horizontal="center" vertical="center" wrapText="1"/>
    </xf>
    <xf numFmtId="41" fontId="15" fillId="0" borderId="40" xfId="2" applyFont="1" applyFill="1" applyBorder="1" applyAlignment="1">
      <alignment vertical="center"/>
    </xf>
    <xf numFmtId="39" fontId="11" fillId="0" borderId="26" xfId="7" applyNumberFormat="1" applyFont="1" applyFill="1" applyBorder="1" applyAlignment="1">
      <alignment vertical="center"/>
    </xf>
    <xf numFmtId="41" fontId="14" fillId="0" borderId="40" xfId="2" applyFont="1" applyFill="1" applyBorder="1" applyAlignment="1">
      <alignment vertical="center"/>
    </xf>
    <xf numFmtId="39" fontId="6" fillId="0" borderId="26" xfId="7" applyNumberFormat="1" applyFont="1" applyFill="1" applyBorder="1" applyAlignment="1">
      <alignment vertical="center"/>
    </xf>
    <xf numFmtId="0" fontId="11" fillId="0" borderId="26" xfId="0" applyFont="1" applyFill="1" applyBorder="1" applyAlignment="1">
      <alignment vertical="center" wrapText="1"/>
    </xf>
    <xf numFmtId="41" fontId="11" fillId="0" borderId="40" xfId="2" applyFont="1" applyFill="1" applyBorder="1" applyAlignment="1">
      <alignment vertical="center"/>
    </xf>
    <xf numFmtId="0" fontId="6" fillId="0" borderId="26" xfId="0" applyFont="1" applyFill="1" applyBorder="1" applyAlignment="1">
      <alignment vertical="center" wrapText="1"/>
    </xf>
    <xf numFmtId="41" fontId="6" fillId="0" borderId="40" xfId="2" applyFont="1" applyFill="1" applyBorder="1" applyAlignment="1">
      <alignment vertical="center"/>
    </xf>
    <xf numFmtId="4" fontId="6" fillId="0" borderId="26" xfId="7" applyNumberFormat="1" applyFont="1" applyFill="1" applyBorder="1" applyAlignment="1">
      <alignment vertical="center" wrapText="1"/>
    </xf>
    <xf numFmtId="4" fontId="6" fillId="0" borderId="26" xfId="7" applyNumberFormat="1" applyFont="1" applyFill="1" applyBorder="1" applyAlignment="1">
      <alignment vertical="center"/>
    </xf>
    <xf numFmtId="166" fontId="14" fillId="0" borderId="26" xfId="2" applyNumberFormat="1" applyFont="1" applyFill="1" applyBorder="1" applyAlignment="1">
      <alignment horizontal="center" vertical="center"/>
    </xf>
    <xf numFmtId="167" fontId="16" fillId="0" borderId="26" xfId="8" applyNumberFormat="1" applyFont="1" applyFill="1" applyBorder="1" applyAlignment="1">
      <alignment horizontal="right" vertical="center"/>
    </xf>
    <xf numFmtId="167" fontId="5" fillId="0" borderId="26" xfId="33" applyNumberFormat="1" applyFont="1" applyFill="1" applyBorder="1" applyAlignment="1">
      <alignment horizontal="right" vertical="center"/>
    </xf>
    <xf numFmtId="41" fontId="5" fillId="0" borderId="26" xfId="2" applyNumberFormat="1" applyFont="1" applyFill="1" applyBorder="1" applyAlignment="1">
      <alignment vertical="center"/>
    </xf>
    <xf numFmtId="166" fontId="5" fillId="0" borderId="26" xfId="2" applyNumberFormat="1" applyFont="1" applyFill="1" applyBorder="1" applyAlignment="1">
      <alignment vertical="center"/>
    </xf>
    <xf numFmtId="166" fontId="16" fillId="0" borderId="26" xfId="6" applyNumberFormat="1" applyFont="1" applyFill="1" applyBorder="1" applyAlignment="1">
      <alignment horizontal="center" vertical="center"/>
    </xf>
    <xf numFmtId="166" fontId="5" fillId="0" borderId="26" xfId="6" applyNumberFormat="1" applyFont="1" applyFill="1" applyBorder="1" applyAlignment="1">
      <alignment horizontal="center" vertical="center"/>
    </xf>
    <xf numFmtId="166" fontId="15" fillId="0" borderId="26" xfId="6" applyNumberFormat="1" applyFont="1" applyFill="1" applyBorder="1" applyAlignment="1">
      <alignment horizontal="center" vertical="center"/>
    </xf>
    <xf numFmtId="166" fontId="15" fillId="0" borderId="26" xfId="0" applyNumberFormat="1" applyFont="1" applyFill="1" applyBorder="1" applyAlignment="1">
      <alignment horizontal="center" vertical="center" wrapText="1"/>
    </xf>
    <xf numFmtId="166" fontId="14" fillId="0" borderId="26" xfId="6" applyNumberFormat="1" applyFont="1" applyFill="1" applyBorder="1" applyAlignment="1">
      <alignment horizontal="center" vertical="center"/>
    </xf>
    <xf numFmtId="166" fontId="14" fillId="0" borderId="26" xfId="0" applyNumberFormat="1" applyFont="1" applyFill="1" applyBorder="1" applyAlignment="1">
      <alignment horizontal="center" vertical="center" wrapText="1"/>
    </xf>
    <xf numFmtId="0" fontId="11" fillId="0" borderId="26" xfId="0" quotePrefix="1" applyFont="1" applyFill="1" applyBorder="1" applyAlignment="1">
      <alignment horizontal="left" vertical="center" wrapText="1"/>
    </xf>
    <xf numFmtId="166" fontId="15" fillId="0" borderId="26" xfId="2" applyNumberFormat="1" applyFont="1" applyFill="1" applyBorder="1" applyAlignment="1">
      <alignment horizontal="center" vertical="center"/>
    </xf>
    <xf numFmtId="10" fontId="16" fillId="0" borderId="26" xfId="3" applyNumberFormat="1" applyFont="1" applyFill="1" applyBorder="1" applyAlignment="1">
      <alignment horizontal="center" vertical="center"/>
    </xf>
    <xf numFmtId="41" fontId="24" fillId="0" borderId="26" xfId="2" applyFont="1" applyFill="1" applyBorder="1" applyAlignment="1">
      <alignment vertical="center"/>
    </xf>
    <xf numFmtId="43" fontId="15" fillId="0" borderId="26" xfId="6" applyNumberFormat="1" applyFont="1" applyFill="1" applyBorder="1" applyAlignment="1">
      <alignment vertical="center"/>
    </xf>
    <xf numFmtId="0" fontId="11" fillId="0" borderId="26" xfId="5" applyFont="1" applyFill="1" applyBorder="1" applyAlignment="1">
      <alignment horizontal="left" vertical="center" wrapText="1"/>
    </xf>
    <xf numFmtId="41" fontId="11" fillId="0" borderId="26" xfId="2" applyNumberFormat="1" applyFont="1" applyFill="1" applyBorder="1" applyAlignment="1">
      <alignment vertical="center"/>
    </xf>
    <xf numFmtId="41" fontId="15" fillId="0" borderId="26" xfId="2" applyNumberFormat="1" applyFont="1" applyFill="1" applyBorder="1" applyAlignment="1">
      <alignment horizontal="left" vertical="center" wrapText="1"/>
    </xf>
    <xf numFmtId="0" fontId="11" fillId="0" borderId="26" xfId="0" applyFont="1" applyFill="1" applyBorder="1" applyAlignment="1">
      <alignment horizontal="left" vertical="center" wrapText="1"/>
    </xf>
    <xf numFmtId="4" fontId="15" fillId="0" borderId="26" xfId="0" applyNumberFormat="1" applyFont="1" applyFill="1" applyBorder="1" applyAlignment="1">
      <alignment horizontal="center" vertical="center" wrapText="1"/>
    </xf>
    <xf numFmtId="4" fontId="14" fillId="0" borderId="26" xfId="0" applyNumberFormat="1" applyFont="1" applyFill="1" applyBorder="1" applyAlignment="1">
      <alignment horizontal="center" vertical="center" wrapText="1"/>
    </xf>
    <xf numFmtId="0" fontId="11" fillId="0" borderId="26" xfId="28" applyFont="1" applyFill="1" applyBorder="1" applyAlignment="1">
      <alignment horizontal="left" vertical="center"/>
    </xf>
    <xf numFmtId="0" fontId="6" fillId="0" borderId="26" xfId="28" applyFont="1" applyFill="1" applyBorder="1" applyAlignment="1">
      <alignment horizontal="left" vertical="center" wrapText="1"/>
    </xf>
    <xf numFmtId="0" fontId="6" fillId="0" borderId="26" xfId="28" applyFont="1" applyFill="1" applyBorder="1" applyAlignment="1">
      <alignment horizontal="left" vertical="center"/>
    </xf>
    <xf numFmtId="0" fontId="11" fillId="0" borderId="26" xfId="28" applyFont="1" applyFill="1" applyBorder="1" applyAlignment="1">
      <alignment vertical="center"/>
    </xf>
    <xf numFmtId="43" fontId="20" fillId="0" borderId="26" xfId="6" applyNumberFormat="1" applyFont="1" applyFill="1" applyBorder="1" applyAlignment="1">
      <alignment vertical="center" wrapText="1"/>
    </xf>
    <xf numFmtId="0" fontId="6" fillId="0" borderId="26" xfId="28" applyFont="1" applyFill="1" applyBorder="1" applyAlignment="1">
      <alignment vertical="center"/>
    </xf>
    <xf numFmtId="43" fontId="21" fillId="0" borderId="26" xfId="6" applyNumberFormat="1" applyFont="1" applyFill="1" applyBorder="1" applyAlignment="1">
      <alignment vertical="center" wrapText="1"/>
    </xf>
    <xf numFmtId="166" fontId="16" fillId="0" borderId="26" xfId="6" applyNumberFormat="1" applyFont="1" applyFill="1" applyBorder="1" applyAlignment="1">
      <alignment vertical="center"/>
    </xf>
    <xf numFmtId="41" fontId="6" fillId="0" borderId="26" xfId="2" applyFont="1" applyFill="1" applyBorder="1" applyAlignment="1">
      <alignment horizontal="left" vertical="center" wrapText="1"/>
    </xf>
    <xf numFmtId="49" fontId="11" fillId="0" borderId="26" xfId="30" applyNumberFormat="1" applyFont="1" applyFill="1" applyBorder="1" applyAlignment="1">
      <alignment horizontal="left" vertical="center"/>
    </xf>
    <xf numFmtId="2" fontId="16" fillId="0" borderId="26" xfId="0" applyNumberFormat="1" applyFont="1" applyFill="1" applyBorder="1" applyAlignment="1">
      <alignment vertical="center"/>
    </xf>
    <xf numFmtId="49" fontId="6" fillId="0" borderId="26" xfId="30" applyNumberFormat="1" applyFont="1" applyFill="1" applyBorder="1" applyAlignment="1">
      <alignment horizontal="left" vertical="center"/>
    </xf>
    <xf numFmtId="2" fontId="5" fillId="0" borderId="26" xfId="0" applyNumberFormat="1" applyFont="1" applyFill="1" applyBorder="1" applyAlignment="1">
      <alignment vertical="center"/>
    </xf>
    <xf numFmtId="49" fontId="6" fillId="0" borderId="26" xfId="30" applyNumberFormat="1" applyFont="1" applyFill="1" applyBorder="1" applyAlignment="1">
      <alignment horizontal="left" vertical="center" wrapText="1"/>
    </xf>
    <xf numFmtId="41" fontId="16" fillId="0" borderId="26" xfId="0" applyNumberFormat="1" applyFont="1" applyFill="1" applyBorder="1" applyAlignment="1">
      <alignment vertical="center"/>
    </xf>
    <xf numFmtId="49" fontId="11" fillId="0" borderId="26" xfId="30" applyNumberFormat="1" applyFont="1" applyFill="1" applyBorder="1" applyAlignment="1">
      <alignment horizontal="left" vertical="center" wrapText="1"/>
    </xf>
    <xf numFmtId="43" fontId="16" fillId="0" borderId="26" xfId="0" applyNumberFormat="1" applyFont="1" applyFill="1" applyBorder="1" applyAlignment="1">
      <alignment horizontal="left" vertical="center"/>
    </xf>
    <xf numFmtId="2" fontId="5" fillId="0" borderId="26" xfId="6" applyNumberFormat="1" applyFont="1" applyFill="1" applyBorder="1" applyAlignment="1">
      <alignment vertical="center"/>
    </xf>
    <xf numFmtId="2" fontId="16" fillId="0" borderId="26" xfId="6" applyNumberFormat="1" applyFont="1" applyFill="1" applyBorder="1" applyAlignment="1">
      <alignment vertical="center"/>
    </xf>
    <xf numFmtId="37" fontId="5" fillId="0" borderId="26" xfId="6" applyNumberFormat="1" applyFont="1" applyFill="1" applyBorder="1" applyAlignment="1">
      <alignment vertical="center"/>
    </xf>
    <xf numFmtId="166" fontId="16" fillId="0" borderId="26" xfId="8" applyNumberFormat="1" applyFont="1" applyFill="1" applyBorder="1" applyAlignment="1">
      <alignment vertical="center"/>
    </xf>
    <xf numFmtId="167" fontId="16" fillId="0" borderId="26" xfId="8" applyNumberFormat="1" applyFont="1" applyFill="1" applyBorder="1" applyAlignment="1">
      <alignment horizontal="center" vertical="center"/>
    </xf>
    <xf numFmtId="166" fontId="24" fillId="0" borderId="26" xfId="8" applyNumberFormat="1" applyFont="1" applyFill="1" applyBorder="1" applyAlignment="1">
      <alignment vertical="center"/>
    </xf>
    <xf numFmtId="49" fontId="11" fillId="0" borderId="26" xfId="0" applyNumberFormat="1" applyFont="1" applyFill="1" applyBorder="1" applyAlignment="1">
      <alignment horizontal="left" vertical="center" wrapText="1"/>
    </xf>
    <xf numFmtId="2" fontId="5" fillId="0" borderId="26" xfId="3" applyNumberFormat="1" applyFont="1" applyFill="1" applyBorder="1" applyAlignment="1">
      <alignment vertical="center"/>
    </xf>
    <xf numFmtId="2" fontId="16" fillId="0" borderId="26" xfId="3" applyNumberFormat="1" applyFont="1" applyFill="1" applyBorder="1" applyAlignment="1">
      <alignment vertical="center"/>
    </xf>
    <xf numFmtId="43" fontId="15" fillId="0" borderId="26" xfId="0" applyNumberFormat="1" applyFont="1" applyFill="1" applyBorder="1" applyAlignment="1">
      <alignment horizontal="center" vertical="center"/>
    </xf>
    <xf numFmtId="43" fontId="15" fillId="0" borderId="26" xfId="32" applyNumberFormat="1" applyFont="1" applyFill="1" applyBorder="1" applyAlignment="1">
      <alignment horizontal="right" vertical="center"/>
    </xf>
    <xf numFmtId="43" fontId="14" fillId="0" borderId="26" xfId="32" applyNumberFormat="1" applyFont="1" applyFill="1" applyBorder="1" applyAlignment="1">
      <alignment horizontal="right" vertical="center"/>
    </xf>
    <xf numFmtId="39" fontId="15" fillId="0" borderId="26" xfId="12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left" vertical="center"/>
    </xf>
    <xf numFmtId="0" fontId="6" fillId="0" borderId="34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left" vertical="center"/>
    </xf>
    <xf numFmtId="41" fontId="15" fillId="0" borderId="34" xfId="2" applyFont="1" applyFill="1" applyBorder="1" applyAlignment="1">
      <alignment horizontal="right" vertical="center"/>
    </xf>
    <xf numFmtId="41" fontId="16" fillId="0" borderId="34" xfId="6" applyFont="1" applyFill="1" applyBorder="1" applyAlignment="1">
      <alignment horizontal="right" vertical="center"/>
    </xf>
    <xf numFmtId="2" fontId="16" fillId="0" borderId="34" xfId="6" applyNumberFormat="1" applyFont="1" applyFill="1" applyBorder="1" applyAlignment="1">
      <alignment vertical="center"/>
    </xf>
    <xf numFmtId="2" fontId="15" fillId="0" borderId="34" xfId="0" applyNumberFormat="1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left" vertical="center" wrapText="1"/>
    </xf>
    <xf numFmtId="41" fontId="6" fillId="0" borderId="30" xfId="2" applyFont="1" applyFill="1" applyBorder="1" applyAlignment="1">
      <alignment vertical="center"/>
    </xf>
    <xf numFmtId="166" fontId="6" fillId="0" borderId="30" xfId="2" applyNumberFormat="1" applyFont="1" applyFill="1" applyBorder="1" applyAlignment="1">
      <alignment vertical="center"/>
    </xf>
    <xf numFmtId="2" fontId="14" fillId="0" borderId="30" xfId="2" applyNumberFormat="1" applyFont="1" applyFill="1" applyBorder="1" applyAlignment="1">
      <alignment horizontal="center" vertical="center"/>
    </xf>
    <xf numFmtId="39" fontId="14" fillId="0" borderId="26" xfId="0" applyNumberFormat="1" applyFont="1" applyFill="1" applyBorder="1" applyAlignment="1">
      <alignment vertical="center"/>
    </xf>
    <xf numFmtId="41" fontId="20" fillId="0" borderId="26" xfId="2" applyFont="1" applyFill="1" applyBorder="1" applyAlignment="1">
      <alignment vertical="center" wrapText="1"/>
    </xf>
    <xf numFmtId="4" fontId="16" fillId="0" borderId="26" xfId="3" applyNumberFormat="1" applyFont="1" applyFill="1" applyBorder="1" applyAlignment="1">
      <alignment horizontal="left" vertical="center"/>
    </xf>
    <xf numFmtId="4" fontId="5" fillId="0" borderId="26" xfId="3" applyNumberFormat="1" applyFont="1" applyFill="1" applyBorder="1" applyAlignment="1">
      <alignment horizontal="left" vertical="center"/>
    </xf>
    <xf numFmtId="4" fontId="11" fillId="0" borderId="26" xfId="7" applyNumberFormat="1" applyFont="1" applyFill="1" applyBorder="1" applyAlignment="1">
      <alignment vertical="center" wrapText="1"/>
    </xf>
    <xf numFmtId="4" fontId="11" fillId="0" borderId="26" xfId="7" applyNumberFormat="1" applyFont="1" applyFill="1" applyBorder="1" applyAlignment="1">
      <alignment vertical="center"/>
    </xf>
    <xf numFmtId="2" fontId="15" fillId="0" borderId="26" xfId="0" applyNumberFormat="1" applyFont="1" applyFill="1" applyBorder="1" applyAlignment="1">
      <alignment vertical="center"/>
    </xf>
    <xf numFmtId="43" fontId="15" fillId="0" borderId="26" xfId="0" applyNumberFormat="1" applyFont="1" applyFill="1" applyBorder="1" applyAlignment="1">
      <alignment vertical="center"/>
    </xf>
    <xf numFmtId="2" fontId="14" fillId="0" borderId="26" xfId="0" applyNumberFormat="1" applyFont="1" applyFill="1" applyBorder="1" applyAlignment="1">
      <alignment vertical="center"/>
    </xf>
    <xf numFmtId="43" fontId="14" fillId="0" borderId="26" xfId="0" applyNumberFormat="1" applyFont="1" applyFill="1" applyBorder="1" applyAlignment="1">
      <alignment vertical="center"/>
    </xf>
    <xf numFmtId="39" fontId="15" fillId="0" borderId="26" xfId="0" applyNumberFormat="1" applyFont="1" applyFill="1" applyBorder="1" applyAlignment="1">
      <alignment vertical="center"/>
    </xf>
    <xf numFmtId="41" fontId="15" fillId="0" borderId="26" xfId="0" applyNumberFormat="1" applyFont="1" applyFill="1" applyBorder="1" applyAlignment="1">
      <alignment vertical="center" wrapText="1"/>
    </xf>
    <xf numFmtId="41" fontId="14" fillId="0" borderId="26" xfId="0" applyNumberFormat="1" applyFont="1" applyFill="1" applyBorder="1" applyAlignment="1">
      <alignment vertical="center" wrapText="1"/>
    </xf>
    <xf numFmtId="166" fontId="16" fillId="0" borderId="26" xfId="2" applyNumberFormat="1" applyFont="1" applyFill="1" applyBorder="1" applyAlignment="1">
      <alignment vertical="center"/>
    </xf>
    <xf numFmtId="168" fontId="14" fillId="0" borderId="26" xfId="0" applyNumberFormat="1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166" fontId="6" fillId="0" borderId="0" xfId="2" applyNumberFormat="1" applyFont="1" applyFill="1" applyBorder="1" applyAlignment="1">
      <alignment vertical="center"/>
    </xf>
    <xf numFmtId="49" fontId="11" fillId="0" borderId="24" xfId="2" quotePrefix="1" applyNumberFormat="1" applyFont="1" applyFill="1" applyBorder="1" applyAlignment="1">
      <alignment horizontal="center" vertical="center"/>
    </xf>
    <xf numFmtId="166" fontId="11" fillId="0" borderId="24" xfId="2" applyNumberFormat="1" applyFont="1" applyFill="1" applyBorder="1" applyAlignment="1">
      <alignment vertical="center"/>
    </xf>
    <xf numFmtId="166" fontId="6" fillId="0" borderId="2" xfId="2" applyNumberFormat="1" applyFont="1" applyFill="1" applyBorder="1" applyAlignment="1">
      <alignment vertical="center"/>
    </xf>
    <xf numFmtId="166" fontId="6" fillId="0" borderId="0" xfId="2" applyNumberFormat="1" applyFont="1" applyFill="1" applyAlignment="1">
      <alignment vertical="center"/>
    </xf>
    <xf numFmtId="166" fontId="17" fillId="0" borderId="0" xfId="2" applyNumberFormat="1" applyFont="1" applyFill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164" fontId="15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left" vertical="center"/>
    </xf>
    <xf numFmtId="164" fontId="14" fillId="0" borderId="18" xfId="0" applyNumberFormat="1" applyFont="1" applyFill="1" applyBorder="1" applyAlignment="1">
      <alignment vertical="center"/>
    </xf>
    <xf numFmtId="164" fontId="15" fillId="0" borderId="39" xfId="2" applyNumberFormat="1" applyFont="1" applyFill="1" applyBorder="1" applyAlignment="1">
      <alignment vertical="center"/>
    </xf>
    <xf numFmtId="164" fontId="14" fillId="0" borderId="26" xfId="2" applyNumberFormat="1" applyFont="1" applyFill="1" applyBorder="1" applyAlignment="1">
      <alignment vertical="center"/>
    </xf>
    <xf numFmtId="164" fontId="15" fillId="0" borderId="26" xfId="2" applyNumberFormat="1" applyFont="1" applyFill="1" applyBorder="1" applyAlignment="1">
      <alignment vertical="center"/>
    </xf>
    <xf numFmtId="164" fontId="6" fillId="0" borderId="26" xfId="5" applyNumberFormat="1" applyFont="1" applyFill="1" applyBorder="1" applyAlignment="1">
      <alignment horizontal="right" vertical="center"/>
    </xf>
    <xf numFmtId="164" fontId="15" fillId="0" borderId="26" xfId="2" applyNumberFormat="1" applyFont="1" applyFill="1" applyBorder="1" applyAlignment="1">
      <alignment horizontal="right" vertical="center"/>
    </xf>
    <xf numFmtId="164" fontId="20" fillId="0" borderId="26" xfId="6" applyNumberFormat="1" applyFont="1" applyFill="1" applyBorder="1" applyAlignment="1">
      <alignment vertical="center" wrapText="1"/>
    </xf>
    <xf numFmtId="164" fontId="21" fillId="0" borderId="26" xfId="6" applyNumberFormat="1" applyFont="1" applyFill="1" applyBorder="1" applyAlignment="1">
      <alignment vertical="center" wrapText="1"/>
    </xf>
    <xf numFmtId="164" fontId="16" fillId="0" borderId="26" xfId="2" applyNumberFormat="1" applyFont="1" applyFill="1" applyBorder="1" applyAlignment="1">
      <alignment vertical="center"/>
    </xf>
    <xf numFmtId="164" fontId="5" fillId="0" borderId="26" xfId="2" applyNumberFormat="1" applyFont="1" applyFill="1" applyBorder="1" applyAlignment="1">
      <alignment vertical="center"/>
    </xf>
    <xf numFmtId="164" fontId="14" fillId="0" borderId="26" xfId="2" applyNumberFormat="1" applyFont="1" applyFill="1" applyBorder="1" applyAlignment="1">
      <alignment vertical="center" wrapText="1"/>
    </xf>
    <xf numFmtId="164" fontId="16" fillId="0" borderId="26" xfId="0" applyNumberFormat="1" applyFont="1" applyFill="1" applyBorder="1" applyAlignment="1">
      <alignment horizontal="left" vertical="center"/>
    </xf>
    <xf numFmtId="164" fontId="5" fillId="0" borderId="26" xfId="0" applyNumberFormat="1" applyFont="1" applyFill="1" applyBorder="1" applyAlignment="1">
      <alignment horizontal="left" vertical="center"/>
    </xf>
    <xf numFmtId="164" fontId="16" fillId="0" borderId="26" xfId="6" applyNumberFormat="1" applyFont="1" applyFill="1" applyBorder="1" applyAlignment="1">
      <alignment horizontal="left" vertical="center"/>
    </xf>
    <xf numFmtId="164" fontId="5" fillId="0" borderId="26" xfId="6" applyNumberFormat="1" applyFont="1" applyFill="1" applyBorder="1" applyAlignment="1">
      <alignment horizontal="left" vertical="center"/>
    </xf>
    <xf numFmtId="164" fontId="5" fillId="0" borderId="26" xfId="6" applyNumberFormat="1" applyFont="1" applyFill="1" applyBorder="1" applyAlignment="1">
      <alignment vertical="center"/>
    </xf>
    <xf numFmtId="164" fontId="16" fillId="0" borderId="26" xfId="6" applyNumberFormat="1" applyFont="1" applyFill="1" applyBorder="1" applyAlignment="1">
      <alignment vertical="center"/>
    </xf>
    <xf numFmtId="164" fontId="14" fillId="0" borderId="26" xfId="6" applyNumberFormat="1" applyFont="1" applyFill="1" applyBorder="1" applyAlignment="1">
      <alignment vertical="center"/>
    </xf>
    <xf numFmtId="164" fontId="11" fillId="0" borderId="26" xfId="0" applyNumberFormat="1" applyFont="1" applyFill="1" applyBorder="1" applyAlignment="1">
      <alignment vertical="center"/>
    </xf>
    <xf numFmtId="164" fontId="6" fillId="0" borderId="26" xfId="0" applyNumberFormat="1" applyFont="1" applyFill="1" applyBorder="1" applyAlignment="1">
      <alignment vertical="center"/>
    </xf>
    <xf numFmtId="164" fontId="16" fillId="0" borderId="26" xfId="8" applyNumberFormat="1" applyFont="1" applyFill="1" applyBorder="1" applyAlignment="1">
      <alignment horizontal="right" vertical="center"/>
    </xf>
    <xf numFmtId="164" fontId="16" fillId="0" borderId="26" xfId="0" applyNumberFormat="1" applyFont="1" applyFill="1" applyBorder="1" applyAlignment="1">
      <alignment horizontal="right" vertical="center"/>
    </xf>
    <xf numFmtId="164" fontId="5" fillId="0" borderId="26" xfId="8" applyNumberFormat="1" applyFont="1" applyFill="1" applyBorder="1" applyAlignment="1">
      <alignment horizontal="right" vertical="center"/>
    </xf>
    <xf numFmtId="164" fontId="5" fillId="0" borderId="26" xfId="0" applyNumberFormat="1" applyFont="1" applyFill="1" applyBorder="1" applyAlignment="1">
      <alignment horizontal="right" vertical="center"/>
    </xf>
    <xf numFmtId="164" fontId="15" fillId="0" borderId="26" xfId="8" applyNumberFormat="1" applyFont="1" applyFill="1" applyBorder="1" applyAlignment="1">
      <alignment horizontal="right" vertical="center"/>
    </xf>
    <xf numFmtId="164" fontId="14" fillId="0" borderId="26" xfId="11" applyNumberFormat="1" applyFont="1" applyFill="1" applyBorder="1" applyAlignment="1">
      <alignment horizontal="right" vertical="center"/>
    </xf>
    <xf numFmtId="164" fontId="14" fillId="0" borderId="26" xfId="8" applyNumberFormat="1" applyFont="1" applyFill="1" applyBorder="1" applyAlignment="1">
      <alignment horizontal="right" vertical="center"/>
    </xf>
    <xf numFmtId="164" fontId="16" fillId="0" borderId="26" xfId="6" applyNumberFormat="1" applyFont="1" applyFill="1" applyBorder="1" applyAlignment="1">
      <alignment horizontal="right" vertical="center"/>
    </xf>
    <xf numFmtId="164" fontId="20" fillId="0" borderId="26" xfId="6" applyNumberFormat="1" applyFont="1" applyFill="1" applyBorder="1" applyAlignment="1">
      <alignment horizontal="right" vertical="center" wrapText="1"/>
    </xf>
    <xf numFmtId="164" fontId="21" fillId="0" borderId="26" xfId="6" applyNumberFormat="1" applyFont="1" applyFill="1" applyBorder="1" applyAlignment="1">
      <alignment horizontal="right" vertical="center" wrapText="1"/>
    </xf>
    <xf numFmtId="164" fontId="16" fillId="0" borderId="26" xfId="6" applyNumberFormat="1" applyFont="1" applyFill="1" applyBorder="1" applyAlignment="1">
      <alignment horizontal="right" vertical="center" wrapText="1"/>
    </xf>
    <xf numFmtId="164" fontId="5" fillId="0" borderId="26" xfId="6" applyNumberFormat="1" applyFont="1" applyFill="1" applyBorder="1" applyAlignment="1">
      <alignment horizontal="right" vertical="center" wrapText="1"/>
    </xf>
    <xf numFmtId="164" fontId="15" fillId="0" borderId="26" xfId="6" applyNumberFormat="1" applyFont="1" applyFill="1" applyBorder="1" applyAlignment="1">
      <alignment horizontal="center" vertical="center"/>
    </xf>
    <xf numFmtId="164" fontId="14" fillId="0" borderId="26" xfId="6" applyNumberFormat="1" applyFont="1" applyFill="1" applyBorder="1" applyAlignment="1">
      <alignment horizontal="center" vertical="center" wrapText="1"/>
    </xf>
    <xf numFmtId="164" fontId="14" fillId="0" borderId="26" xfId="6" applyNumberFormat="1" applyFont="1" applyFill="1" applyBorder="1" applyAlignment="1">
      <alignment horizontal="center" vertical="center"/>
    </xf>
    <xf numFmtId="164" fontId="15" fillId="0" borderId="26" xfId="6" applyNumberFormat="1" applyFont="1" applyFill="1" applyBorder="1" applyAlignment="1">
      <alignment vertical="center"/>
    </xf>
    <xf numFmtId="164" fontId="14" fillId="0" borderId="26" xfId="6" applyNumberFormat="1" applyFont="1" applyFill="1" applyBorder="1" applyAlignment="1">
      <alignment horizontal="left" vertical="center"/>
    </xf>
    <xf numFmtId="164" fontId="14" fillId="0" borderId="26" xfId="2" applyNumberFormat="1" applyFont="1" applyFill="1" applyBorder="1" applyAlignment="1">
      <alignment horizontal="center" vertical="center"/>
    </xf>
    <xf numFmtId="164" fontId="15" fillId="0" borderId="26" xfId="8" applyNumberFormat="1" applyFont="1" applyFill="1" applyBorder="1" applyAlignment="1" applyProtection="1">
      <alignment horizontal="right" vertical="center"/>
    </xf>
    <xf numFmtId="164" fontId="16" fillId="0" borderId="26" xfId="8" applyNumberFormat="1" applyFont="1" applyFill="1" applyBorder="1" applyAlignment="1">
      <alignment vertical="center"/>
    </xf>
    <xf numFmtId="164" fontId="11" fillId="0" borderId="26" xfId="5" applyNumberFormat="1" applyFont="1" applyFill="1" applyBorder="1" applyAlignment="1">
      <alignment vertical="center"/>
    </xf>
    <xf numFmtId="164" fontId="6" fillId="0" borderId="26" xfId="1" applyNumberFormat="1" applyFont="1" applyFill="1" applyBorder="1" applyAlignment="1">
      <alignment vertical="center"/>
    </xf>
    <xf numFmtId="164" fontId="6" fillId="0" borderId="26" xfId="5" applyNumberFormat="1" applyFont="1" applyFill="1" applyBorder="1" applyAlignment="1">
      <alignment vertical="center"/>
    </xf>
    <xf numFmtId="164" fontId="11" fillId="0" borderId="26" xfId="33" applyNumberFormat="1" applyFont="1" applyFill="1" applyBorder="1" applyAlignment="1">
      <alignment vertical="center"/>
    </xf>
    <xf numFmtId="164" fontId="14" fillId="0" borderId="26" xfId="2" applyNumberFormat="1" applyFont="1" applyFill="1" applyBorder="1" applyAlignment="1">
      <alignment horizontal="right" vertical="center"/>
    </xf>
    <xf numFmtId="164" fontId="14" fillId="0" borderId="26" xfId="0" applyNumberFormat="1" applyFont="1" applyFill="1" applyBorder="1" applyAlignment="1">
      <alignment vertical="center"/>
    </xf>
    <xf numFmtId="164" fontId="15" fillId="0" borderId="26" xfId="2" applyNumberFormat="1" applyFont="1" applyFill="1" applyBorder="1" applyAlignment="1">
      <alignment vertical="center" wrapText="1"/>
    </xf>
    <xf numFmtId="164" fontId="20" fillId="0" borderId="26" xfId="0" applyNumberFormat="1" applyFont="1" applyFill="1" applyBorder="1" applyAlignment="1">
      <alignment horizontal="right" vertical="center"/>
    </xf>
    <xf numFmtId="164" fontId="20" fillId="0" borderId="26" xfId="0" applyNumberFormat="1" applyFont="1" applyFill="1" applyBorder="1" applyAlignment="1">
      <alignment vertical="center"/>
    </xf>
    <xf numFmtId="164" fontId="21" fillId="0" borderId="26" xfId="0" applyNumberFormat="1" applyFont="1" applyFill="1" applyBorder="1" applyAlignment="1">
      <alignment vertical="center"/>
    </xf>
    <xf numFmtId="164" fontId="5" fillId="0" borderId="26" xfId="0" applyNumberFormat="1" applyFont="1" applyFill="1" applyBorder="1" applyAlignment="1">
      <alignment vertical="center"/>
    </xf>
    <xf numFmtId="164" fontId="16" fillId="0" borderId="26" xfId="8" applyNumberFormat="1" applyFont="1" applyFill="1" applyBorder="1" applyAlignment="1">
      <alignment horizontal="left" vertical="center"/>
    </xf>
    <xf numFmtId="164" fontId="15" fillId="0" borderId="26" xfId="6" applyNumberFormat="1" applyFont="1" applyFill="1" applyBorder="1" applyAlignment="1">
      <alignment vertical="center" wrapText="1"/>
    </xf>
    <xf numFmtId="164" fontId="14" fillId="0" borderId="26" xfId="6" applyNumberFormat="1" applyFont="1" applyFill="1" applyBorder="1" applyAlignment="1">
      <alignment vertical="center" wrapText="1"/>
    </xf>
    <xf numFmtId="164" fontId="15" fillId="0" borderId="26" xfId="8" applyNumberFormat="1" applyFont="1" applyFill="1" applyBorder="1" applyAlignment="1">
      <alignment vertical="center"/>
    </xf>
    <xf numFmtId="164" fontId="14" fillId="0" borderId="26" xfId="8" applyNumberFormat="1" applyFont="1" applyFill="1" applyBorder="1" applyAlignment="1">
      <alignment vertical="center"/>
    </xf>
    <xf numFmtId="164" fontId="15" fillId="0" borderId="26" xfId="11" applyNumberFormat="1" applyFont="1" applyFill="1" applyBorder="1" applyAlignment="1">
      <alignment horizontal="left" vertical="center"/>
    </xf>
    <xf numFmtId="164" fontId="16" fillId="0" borderId="26" xfId="11" applyNumberFormat="1" applyFont="1" applyFill="1" applyBorder="1" applyAlignment="1">
      <alignment horizontal="left" vertical="center"/>
    </xf>
    <xf numFmtId="164" fontId="5" fillId="0" borderId="26" xfId="11" applyNumberFormat="1" applyFont="1" applyFill="1" applyBorder="1" applyAlignment="1">
      <alignment horizontal="left" vertical="center"/>
    </xf>
    <xf numFmtId="164" fontId="14" fillId="0" borderId="26" xfId="11" applyNumberFormat="1" applyFont="1" applyFill="1" applyBorder="1" applyAlignment="1">
      <alignment horizontal="left" vertical="center"/>
    </xf>
    <xf numFmtId="164" fontId="11" fillId="0" borderId="26" xfId="0" applyNumberFormat="1" applyFont="1" applyFill="1" applyBorder="1" applyAlignment="1">
      <alignment horizontal="left" vertical="center" wrapText="1"/>
    </xf>
    <xf numFmtId="164" fontId="16" fillId="0" borderId="26" xfId="0" quotePrefix="1" applyNumberFormat="1" applyFont="1" applyFill="1" applyBorder="1" applyAlignment="1">
      <alignment horizontal="center" vertical="center" wrapText="1"/>
    </xf>
    <xf numFmtId="164" fontId="16" fillId="0" borderId="26" xfId="6" quotePrefix="1" applyNumberFormat="1" applyFont="1" applyFill="1" applyBorder="1" applyAlignment="1">
      <alignment horizontal="center" vertical="center" wrapText="1"/>
    </xf>
    <xf numFmtId="164" fontId="16" fillId="0" borderId="26" xfId="0" applyNumberFormat="1" applyFont="1" applyFill="1" applyBorder="1" applyAlignment="1">
      <alignment vertical="center" wrapText="1"/>
    </xf>
    <xf numFmtId="164" fontId="5" fillId="0" borderId="26" xfId="0" applyNumberFormat="1" applyFont="1" applyFill="1" applyBorder="1" applyAlignment="1">
      <alignment vertical="center" wrapText="1"/>
    </xf>
    <xf numFmtId="164" fontId="16" fillId="0" borderId="26" xfId="8" applyNumberFormat="1" applyFont="1" applyFill="1" applyBorder="1" applyAlignment="1">
      <alignment vertical="center" wrapText="1"/>
    </xf>
    <xf numFmtId="164" fontId="5" fillId="0" borderId="26" xfId="8" applyNumberFormat="1" applyFont="1" applyFill="1" applyBorder="1" applyAlignment="1">
      <alignment vertical="center" wrapText="1"/>
    </xf>
    <xf numFmtId="164" fontId="5" fillId="0" borderId="26" xfId="8" applyNumberFormat="1" applyFont="1" applyFill="1" applyBorder="1" applyAlignment="1">
      <alignment vertical="center"/>
    </xf>
    <xf numFmtId="164" fontId="16" fillId="0" borderId="26" xfId="0" applyNumberFormat="1" applyFont="1" applyFill="1" applyBorder="1" applyAlignment="1">
      <alignment vertical="center"/>
    </xf>
    <xf numFmtId="164" fontId="16" fillId="0" borderId="26" xfId="29" applyNumberFormat="1" applyFont="1" applyFill="1" applyBorder="1" applyAlignment="1">
      <alignment vertical="center"/>
    </xf>
    <xf numFmtId="164" fontId="5" fillId="0" borderId="26" xfId="8" applyNumberFormat="1" applyFont="1" applyFill="1" applyBorder="1" applyAlignment="1">
      <alignment horizontal="left" vertical="center"/>
    </xf>
    <xf numFmtId="164" fontId="15" fillId="0" borderId="26" xfId="12" applyNumberFormat="1" applyFont="1" applyFill="1" applyBorder="1" applyAlignment="1">
      <alignment horizontal="right" vertical="center"/>
    </xf>
    <xf numFmtId="164" fontId="14" fillId="0" borderId="26" xfId="12" applyNumberFormat="1" applyFont="1" applyFill="1" applyBorder="1" applyAlignment="1">
      <alignment horizontal="right" vertical="center"/>
    </xf>
    <xf numFmtId="164" fontId="16" fillId="0" borderId="26" xfId="6" quotePrefix="1" applyNumberFormat="1" applyFont="1" applyFill="1" applyBorder="1" applyAlignment="1">
      <alignment horizontal="center" vertical="center"/>
    </xf>
    <xf numFmtId="164" fontId="5" fillId="0" borderId="26" xfId="6" quotePrefix="1" applyNumberFormat="1" applyFont="1" applyFill="1" applyBorder="1" applyAlignment="1">
      <alignment horizontal="center" vertical="center"/>
    </xf>
    <xf numFmtId="164" fontId="5" fillId="0" borderId="26" xfId="6" applyNumberFormat="1" applyFont="1" applyFill="1" applyBorder="1" applyAlignment="1">
      <alignment horizontal="right" vertical="center"/>
    </xf>
    <xf numFmtId="164" fontId="15" fillId="0" borderId="24" xfId="2" applyNumberFormat="1" applyFont="1" applyFill="1" applyBorder="1" applyAlignment="1">
      <alignment vertical="center"/>
    </xf>
    <xf numFmtId="0" fontId="21" fillId="0" borderId="26" xfId="0" applyFont="1" applyFill="1" applyBorder="1" applyAlignment="1">
      <alignment vertical="center" wrapText="1"/>
    </xf>
    <xf numFmtId="2" fontId="14" fillId="0" borderId="26" xfId="0" applyNumberFormat="1" applyFont="1" applyFill="1" applyBorder="1" applyAlignment="1">
      <alignment horizontal="left" vertical="center"/>
    </xf>
    <xf numFmtId="164" fontId="15" fillId="0" borderId="43" xfId="0" quotePrefix="1" applyNumberFormat="1" applyFont="1" applyFill="1" applyBorder="1" applyAlignment="1">
      <alignment horizontal="center" vertical="center"/>
    </xf>
    <xf numFmtId="0" fontId="15" fillId="0" borderId="43" xfId="0" quotePrefix="1" applyNumberFormat="1" applyFont="1" applyFill="1" applyBorder="1" applyAlignment="1">
      <alignment horizontal="center" vertical="center"/>
    </xf>
    <xf numFmtId="49" fontId="15" fillId="0" borderId="49" xfId="0" applyNumberFormat="1" applyFont="1" applyFill="1" applyBorder="1" applyAlignment="1">
      <alignment horizontal="center" vertical="center"/>
    </xf>
    <xf numFmtId="164" fontId="15" fillId="0" borderId="49" xfId="0" quotePrefix="1" applyNumberFormat="1" applyFont="1" applyFill="1" applyBorder="1" applyAlignment="1">
      <alignment horizontal="center" vertical="center"/>
    </xf>
    <xf numFmtId="0" fontId="15" fillId="0" borderId="49" xfId="0" quotePrefix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66" fontId="11" fillId="0" borderId="17" xfId="2" applyNumberFormat="1" applyFont="1" applyBorder="1" applyAlignment="1">
      <alignment horizontal="center" vertical="center" wrapText="1"/>
    </xf>
    <xf numFmtId="166" fontId="11" fillId="0" borderId="18" xfId="2" applyNumberFormat="1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/>
    </xf>
    <xf numFmtId="0" fontId="43" fillId="0" borderId="30" xfId="0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vertical="center"/>
    </xf>
    <xf numFmtId="0" fontId="33" fillId="0" borderId="26" xfId="0" applyFont="1" applyFill="1" applyBorder="1" applyAlignment="1">
      <alignment horizontal="left" vertical="center"/>
    </xf>
    <xf numFmtId="0" fontId="44" fillId="0" borderId="26" xfId="0" applyFont="1" applyFill="1" applyBorder="1" applyAlignment="1">
      <alignment horizontal="left" vertical="center" wrapText="1"/>
    </xf>
    <xf numFmtId="0" fontId="44" fillId="0" borderId="26" xfId="0" applyFont="1" applyFill="1" applyBorder="1" applyAlignment="1">
      <alignment horizontal="left" vertical="center"/>
    </xf>
    <xf numFmtId="0" fontId="38" fillId="0" borderId="0" xfId="0" applyFont="1" applyFill="1" applyAlignment="1">
      <alignment vertical="center"/>
    </xf>
    <xf numFmtId="166" fontId="43" fillId="0" borderId="26" xfId="2" applyNumberFormat="1" applyFont="1" applyFill="1" applyBorder="1" applyAlignment="1">
      <alignment vertical="center"/>
    </xf>
    <xf numFmtId="41" fontId="43" fillId="6" borderId="54" xfId="2" applyFont="1" applyFill="1" applyBorder="1" applyAlignment="1" applyProtection="1">
      <alignment horizontal="center" vertical="center"/>
    </xf>
    <xf numFmtId="166" fontId="38" fillId="0" borderId="26" xfId="2" applyNumberFormat="1" applyFont="1" applyFill="1" applyBorder="1" applyAlignment="1">
      <alignment vertical="center"/>
    </xf>
    <xf numFmtId="41" fontId="43" fillId="6" borderId="54" xfId="2" applyFont="1" applyFill="1" applyBorder="1" applyAlignment="1" applyProtection="1">
      <alignment horizontal="center" vertical="center" wrapText="1"/>
    </xf>
    <xf numFmtId="41" fontId="38" fillId="6" borderId="54" xfId="2" applyFont="1" applyFill="1" applyBorder="1" applyAlignment="1" applyProtection="1">
      <alignment horizontal="center" vertical="center" wrapText="1"/>
    </xf>
    <xf numFmtId="41" fontId="38" fillId="6" borderId="54" xfId="2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1" fontId="6" fillId="0" borderId="0" xfId="2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41" fontId="6" fillId="0" borderId="0" xfId="2" applyFont="1" applyAlignment="1">
      <alignment horizontal="left" vertical="center"/>
    </xf>
    <xf numFmtId="166" fontId="6" fillId="0" borderId="0" xfId="2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6" fontId="6" fillId="0" borderId="0" xfId="2" applyNumberFormat="1" applyFont="1" applyAlignment="1">
      <alignment horizontal="center" vertical="center"/>
    </xf>
    <xf numFmtId="41" fontId="6" fillId="0" borderId="0" xfId="2" applyFont="1" applyAlignment="1">
      <alignment vertical="center"/>
    </xf>
    <xf numFmtId="41" fontId="43" fillId="0" borderId="24" xfId="2" applyFont="1" applyBorder="1" applyAlignment="1">
      <alignment horizontal="center" vertical="center" wrapText="1"/>
    </xf>
    <xf numFmtId="166" fontId="43" fillId="0" borderId="24" xfId="2" applyNumberFormat="1" applyFont="1" applyBorder="1" applyAlignment="1">
      <alignment horizontal="center" vertical="center" wrapText="1"/>
    </xf>
    <xf numFmtId="0" fontId="38" fillId="0" borderId="0" xfId="0" applyFont="1" applyBorder="1"/>
    <xf numFmtId="0" fontId="42" fillId="0" borderId="0" xfId="0" applyFont="1" applyBorder="1" applyAlignment="1">
      <alignment vertical="center"/>
    </xf>
    <xf numFmtId="41" fontId="44" fillId="0" borderId="0" xfId="2" applyFont="1" applyBorder="1" applyAlignment="1">
      <alignment horizontal="center" vertical="center"/>
    </xf>
    <xf numFmtId="41" fontId="44" fillId="0" borderId="0" xfId="2" applyFont="1" applyBorder="1" applyAlignment="1">
      <alignment horizontal="right" vertical="center"/>
    </xf>
    <xf numFmtId="0" fontId="44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8" fillId="0" borderId="0" xfId="0" applyFont="1"/>
    <xf numFmtId="0" fontId="38" fillId="0" borderId="0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8" fillId="0" borderId="0" xfId="0" applyFont="1" applyBorder="1" applyAlignment="1">
      <alignment horizontal="center"/>
    </xf>
    <xf numFmtId="0" fontId="38" fillId="0" borderId="0" xfId="0" applyFont="1" applyBorder="1" applyAlignment="1">
      <alignment horizontal="center" vertical="center"/>
    </xf>
    <xf numFmtId="41" fontId="38" fillId="0" borderId="0" xfId="2" applyFont="1" applyBorder="1" applyAlignment="1">
      <alignment horizontal="center" vertical="center"/>
    </xf>
    <xf numFmtId="0" fontId="38" fillId="0" borderId="0" xfId="0" applyFont="1" applyBorder="1" applyAlignment="1"/>
    <xf numFmtId="41" fontId="38" fillId="0" borderId="0" xfId="2" applyFont="1" applyBorder="1" applyAlignment="1">
      <alignment vertical="center"/>
    </xf>
    <xf numFmtId="0" fontId="38" fillId="0" borderId="0" xfId="0" applyFont="1" applyBorder="1" applyAlignment="1">
      <alignment vertical="top"/>
    </xf>
    <xf numFmtId="41" fontId="38" fillId="6" borderId="0" xfId="2" applyFont="1" applyFill="1" applyBorder="1" applyAlignment="1" applyProtection="1">
      <alignment horizontal="center" vertical="center" wrapText="1"/>
    </xf>
    <xf numFmtId="0" fontId="38" fillId="0" borderId="0" xfId="0" applyFont="1" applyBorder="1" applyAlignment="1">
      <alignment horizontal="left"/>
    </xf>
    <xf numFmtId="0" fontId="43" fillId="0" borderId="24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22" xfId="0" quotePrefix="1" applyFont="1" applyBorder="1" applyAlignment="1">
      <alignment horizontal="center" vertical="center"/>
    </xf>
    <xf numFmtId="41" fontId="42" fillId="0" borderId="22" xfId="2" quotePrefix="1" applyFont="1" applyBorder="1" applyAlignment="1">
      <alignment horizontal="center" vertical="center"/>
    </xf>
    <xf numFmtId="166" fontId="42" fillId="0" borderId="22" xfId="2" quotePrefix="1" applyNumberFormat="1" applyFont="1" applyBorder="1" applyAlignment="1">
      <alignment horizontal="center" vertical="center"/>
    </xf>
    <xf numFmtId="0" fontId="43" fillId="0" borderId="17" xfId="0" applyFont="1" applyBorder="1" applyAlignment="1">
      <alignment horizontal="left" vertical="center"/>
    </xf>
    <xf numFmtId="41" fontId="38" fillId="0" borderId="17" xfId="2" applyFont="1" applyBorder="1" applyAlignment="1">
      <alignment horizontal="center" vertical="center"/>
    </xf>
    <xf numFmtId="41" fontId="38" fillId="0" borderId="17" xfId="2" applyFont="1" applyBorder="1" applyAlignment="1">
      <alignment vertical="center"/>
    </xf>
    <xf numFmtId="166" fontId="38" fillId="0" borderId="17" xfId="2" applyNumberFormat="1" applyFont="1" applyBorder="1" applyAlignment="1">
      <alignment vertical="center"/>
    </xf>
    <xf numFmtId="0" fontId="43" fillId="0" borderId="50" xfId="0" applyFont="1" applyFill="1" applyBorder="1" applyAlignment="1">
      <alignment horizontal="left" vertical="center"/>
    </xf>
    <xf numFmtId="41" fontId="43" fillId="0" borderId="50" xfId="2" applyFont="1" applyFill="1" applyBorder="1" applyAlignment="1">
      <alignment horizontal="center" vertical="center"/>
    </xf>
    <xf numFmtId="166" fontId="43" fillId="0" borderId="50" xfId="2" applyNumberFormat="1" applyFont="1" applyFill="1" applyBorder="1" applyAlignment="1">
      <alignment horizontal="left" vertical="center"/>
    </xf>
    <xf numFmtId="166" fontId="38" fillId="0" borderId="50" xfId="2" applyNumberFormat="1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41" fontId="43" fillId="6" borderId="51" xfId="2" applyFont="1" applyFill="1" applyBorder="1" applyAlignment="1" applyProtection="1">
      <alignment horizontal="center" vertical="center" wrapText="1"/>
    </xf>
    <xf numFmtId="43" fontId="38" fillId="0" borderId="26" xfId="0" applyNumberFormat="1" applyFont="1" applyFill="1" applyBorder="1" applyAlignment="1">
      <alignment horizontal="left" vertical="center"/>
    </xf>
    <xf numFmtId="0" fontId="43" fillId="6" borderId="51" xfId="0" applyNumberFormat="1" applyFont="1" applyFill="1" applyBorder="1" applyAlignment="1" applyProtection="1">
      <alignment horizontal="left" vertical="center" wrapText="1"/>
    </xf>
    <xf numFmtId="0" fontId="38" fillId="6" borderId="51" xfId="0" applyNumberFormat="1" applyFont="1" applyFill="1" applyBorder="1" applyAlignment="1" applyProtection="1">
      <alignment horizontal="left" vertical="center" wrapText="1"/>
    </xf>
    <xf numFmtId="41" fontId="38" fillId="6" borderId="51" xfId="2" applyFont="1" applyFill="1" applyBorder="1" applyAlignment="1" applyProtection="1">
      <alignment horizontal="center" vertical="center" wrapText="1"/>
    </xf>
    <xf numFmtId="41" fontId="43" fillId="6" borderId="51" xfId="2" applyFont="1" applyFill="1" applyBorder="1" applyAlignment="1" applyProtection="1">
      <alignment horizontal="center" vertical="center"/>
    </xf>
    <xf numFmtId="41" fontId="38" fillId="6" borderId="51" xfId="2" applyFont="1" applyFill="1" applyBorder="1" applyAlignment="1" applyProtection="1">
      <alignment horizontal="center" vertical="center"/>
    </xf>
    <xf numFmtId="0" fontId="43" fillId="6" borderId="51" xfId="0" applyNumberFormat="1" applyFont="1" applyFill="1" applyBorder="1" applyAlignment="1" applyProtection="1">
      <alignment horizontal="left" vertical="center"/>
    </xf>
    <xf numFmtId="41" fontId="0" fillId="0" borderId="51" xfId="2" applyFont="1" applyBorder="1" applyAlignment="1">
      <alignment horizontal="center" vertical="center"/>
    </xf>
    <xf numFmtId="0" fontId="38" fillId="0" borderId="0" xfId="0" applyFont="1" applyFill="1" applyBorder="1"/>
    <xf numFmtId="0" fontId="38" fillId="0" borderId="26" xfId="0" applyFont="1" applyFill="1" applyBorder="1"/>
    <xf numFmtId="0" fontId="38" fillId="0" borderId="0" xfId="0" applyFont="1" applyFill="1"/>
    <xf numFmtId="43" fontId="43" fillId="0" borderId="26" xfId="1" applyNumberFormat="1" applyFont="1" applyFill="1" applyBorder="1" applyAlignment="1">
      <alignment horizontal="left" vertical="center"/>
    </xf>
    <xf numFmtId="166" fontId="38" fillId="0" borderId="26" xfId="2" applyNumberFormat="1" applyFont="1" applyFill="1" applyBorder="1"/>
    <xf numFmtId="41" fontId="33" fillId="0" borderId="26" xfId="2" applyFont="1" applyFill="1" applyBorder="1" applyAlignment="1">
      <alignment horizontal="center" vertical="center"/>
    </xf>
    <xf numFmtId="166" fontId="43" fillId="0" borderId="26" xfId="2" applyNumberFormat="1" applyFont="1" applyFill="1" applyBorder="1"/>
    <xf numFmtId="0" fontId="43" fillId="0" borderId="0" xfId="0" applyFont="1" applyFill="1"/>
    <xf numFmtId="0" fontId="43" fillId="4" borderId="26" xfId="0" applyFont="1" applyFill="1" applyBorder="1" applyAlignment="1">
      <alignment horizontal="left" vertical="center"/>
    </xf>
    <xf numFmtId="166" fontId="38" fillId="0" borderId="26" xfId="2" applyNumberFormat="1" applyFont="1" applyBorder="1"/>
    <xf numFmtId="43" fontId="43" fillId="0" borderId="26" xfId="1" applyNumberFormat="1" applyFont="1" applyFill="1" applyBorder="1" applyAlignment="1">
      <alignment vertical="center"/>
    </xf>
    <xf numFmtId="41" fontId="43" fillId="6" borderId="52" xfId="2" applyFont="1" applyFill="1" applyBorder="1" applyAlignment="1" applyProtection="1">
      <alignment horizontal="center" vertical="center" wrapText="1"/>
    </xf>
    <xf numFmtId="41" fontId="38" fillId="6" borderId="52" xfId="2" applyFont="1" applyFill="1" applyBorder="1" applyAlignment="1" applyProtection="1">
      <alignment horizontal="center" vertical="center" wrapText="1"/>
    </xf>
    <xf numFmtId="41" fontId="43" fillId="6" borderId="52" xfId="2" applyFont="1" applyFill="1" applyBorder="1" applyAlignment="1" applyProtection="1">
      <alignment horizontal="center" vertical="center"/>
    </xf>
    <xf numFmtId="41" fontId="38" fillId="6" borderId="53" xfId="2" applyFont="1" applyFill="1" applyBorder="1" applyAlignment="1" applyProtection="1">
      <alignment horizontal="center" vertical="center"/>
    </xf>
    <xf numFmtId="0" fontId="38" fillId="6" borderId="52" xfId="0" applyNumberFormat="1" applyFont="1" applyFill="1" applyBorder="1" applyAlignment="1" applyProtection="1">
      <alignment horizontal="left" vertical="center" wrapText="1"/>
    </xf>
    <xf numFmtId="0" fontId="43" fillId="0" borderId="0" xfId="0" applyFont="1" applyAlignment="1">
      <alignment vertical="center"/>
    </xf>
    <xf numFmtId="166" fontId="38" fillId="0" borderId="0" xfId="2" applyNumberFormat="1" applyFont="1" applyAlignment="1">
      <alignment vertical="center"/>
    </xf>
    <xf numFmtId="166" fontId="38" fillId="0" borderId="0" xfId="2" applyNumberFormat="1" applyFont="1"/>
    <xf numFmtId="41" fontId="33" fillId="0" borderId="0" xfId="2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 wrapText="1"/>
    </xf>
    <xf numFmtId="41" fontId="38" fillId="0" borderId="0" xfId="2" applyFont="1" applyAlignment="1">
      <alignment vertical="center"/>
    </xf>
    <xf numFmtId="41" fontId="38" fillId="0" borderId="0" xfId="2" applyFont="1" applyAlignment="1">
      <alignment horizontal="center" vertical="center"/>
    </xf>
    <xf numFmtId="0" fontId="14" fillId="0" borderId="30" xfId="0" applyFont="1" applyFill="1" applyBorder="1" applyAlignment="1">
      <alignment horizontal="left" vertical="center"/>
    </xf>
    <xf numFmtId="0" fontId="14" fillId="0" borderId="34" xfId="0" applyFont="1" applyFill="1" applyBorder="1" applyAlignment="1">
      <alignment horizontal="left" vertical="center"/>
    </xf>
    <xf numFmtId="0" fontId="0" fillId="0" borderId="0" xfId="0" applyFill="1"/>
    <xf numFmtId="0" fontId="42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8" fillId="0" borderId="22" xfId="0" quotePrefix="1" applyFont="1" applyBorder="1" applyAlignment="1">
      <alignment horizontal="left" vertical="center"/>
    </xf>
    <xf numFmtId="0" fontId="32" fillId="0" borderId="51" xfId="0" applyFont="1" applyBorder="1" applyAlignment="1">
      <alignment horizontal="left" vertical="center"/>
    </xf>
    <xf numFmtId="0" fontId="38" fillId="6" borderId="51" xfId="0" applyNumberFormat="1" applyFont="1" applyFill="1" applyBorder="1" applyAlignment="1" applyProtection="1">
      <alignment horizontal="left" vertical="center"/>
    </xf>
    <xf numFmtId="0" fontId="0" fillId="0" borderId="51" xfId="0" applyFont="1" applyBorder="1" applyAlignment="1">
      <alignment horizontal="left" vertical="center"/>
    </xf>
    <xf numFmtId="0" fontId="38" fillId="6" borderId="52" xfId="0" applyNumberFormat="1" applyFont="1" applyFill="1" applyBorder="1" applyAlignment="1" applyProtection="1">
      <alignment horizontal="left" vertical="center"/>
    </xf>
    <xf numFmtId="0" fontId="43" fillId="6" borderId="52" xfId="0" applyNumberFormat="1" applyFont="1" applyFill="1" applyBorder="1" applyAlignment="1" applyProtection="1">
      <alignment horizontal="left" vertical="center"/>
    </xf>
    <xf numFmtId="0" fontId="43" fillId="6" borderId="52" xfId="0" applyNumberFormat="1" applyFont="1" applyFill="1" applyBorder="1" applyAlignment="1" applyProtection="1">
      <alignment horizontal="left" vertical="center" wrapText="1"/>
    </xf>
    <xf numFmtId="0" fontId="38" fillId="0" borderId="0" xfId="0" applyFont="1" applyAlignment="1">
      <alignment horizontal="left" vertical="center"/>
    </xf>
    <xf numFmtId="0" fontId="32" fillId="0" borderId="0" xfId="0" quotePrefix="1" applyFont="1" applyAlignment="1">
      <alignment horizontal="left" vertical="center"/>
    </xf>
    <xf numFmtId="41" fontId="38" fillId="0" borderId="0" xfId="0" applyNumberFormat="1" applyFont="1" applyAlignment="1">
      <alignment horizontal="left" vertical="center"/>
    </xf>
    <xf numFmtId="0" fontId="38" fillId="6" borderId="55" xfId="0" applyNumberFormat="1" applyFont="1" applyFill="1" applyBorder="1" applyAlignment="1" applyProtection="1">
      <alignment horizontal="left" vertical="center" wrapText="1"/>
    </xf>
    <xf numFmtId="43" fontId="43" fillId="0" borderId="30" xfId="1" applyNumberFormat="1" applyFont="1" applyFill="1" applyBorder="1" applyAlignment="1">
      <alignment vertical="center"/>
    </xf>
    <xf numFmtId="166" fontId="43" fillId="0" borderId="30" xfId="2" applyNumberFormat="1" applyFont="1" applyFill="1" applyBorder="1"/>
    <xf numFmtId="0" fontId="38" fillId="0" borderId="0" xfId="0" applyFont="1" applyBorder="1" applyAlignment="1">
      <alignment horizontal="left" vertical="top"/>
    </xf>
    <xf numFmtId="41" fontId="38" fillId="0" borderId="0" xfId="2" applyFont="1" applyBorder="1" applyAlignment="1">
      <alignment horizontal="left" vertical="center"/>
    </xf>
    <xf numFmtId="0" fontId="38" fillId="0" borderId="17" xfId="0" applyFont="1" applyBorder="1" applyAlignment="1">
      <alignment horizontal="center" vertical="center"/>
    </xf>
    <xf numFmtId="0" fontId="38" fillId="0" borderId="17" xfId="0" applyFont="1" applyBorder="1"/>
    <xf numFmtId="49" fontId="43" fillId="0" borderId="50" xfId="0" applyNumberFormat="1" applyFont="1" applyFill="1" applyBorder="1" applyAlignment="1">
      <alignment horizontal="center" vertical="center"/>
    </xf>
    <xf numFmtId="49" fontId="38" fillId="0" borderId="26" xfId="0" applyNumberFormat="1" applyFont="1" applyFill="1" applyBorder="1" applyAlignment="1">
      <alignment horizontal="center" vertical="center"/>
    </xf>
    <xf numFmtId="49" fontId="43" fillId="0" borderId="26" xfId="0" applyNumberFormat="1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43" fillId="0" borderId="26" xfId="0" applyFont="1" applyFill="1" applyBorder="1"/>
    <xf numFmtId="0" fontId="43" fillId="0" borderId="26" xfId="0" applyFont="1" applyFill="1" applyBorder="1" applyAlignment="1">
      <alignment horizontal="center" vertical="center"/>
    </xf>
    <xf numFmtId="49" fontId="38" fillId="4" borderId="26" xfId="0" applyNumberFormat="1" applyFont="1" applyFill="1" applyBorder="1" applyAlignment="1">
      <alignment horizontal="center" vertical="center"/>
    </xf>
    <xf numFmtId="0" fontId="38" fillId="0" borderId="26" xfId="0" applyFont="1" applyBorder="1"/>
    <xf numFmtId="0" fontId="43" fillId="0" borderId="30" xfId="0" applyFont="1" applyFill="1" applyBorder="1"/>
    <xf numFmtId="0" fontId="43" fillId="0" borderId="24" xfId="0" applyFont="1" applyBorder="1" applyAlignment="1">
      <alignment horizontal="left" vertical="center"/>
    </xf>
    <xf numFmtId="41" fontId="43" fillId="0" borderId="24" xfId="2" applyFont="1" applyBorder="1" applyAlignment="1">
      <alignment horizontal="center" vertical="center"/>
    </xf>
    <xf numFmtId="43" fontId="43" fillId="0" borderId="24" xfId="1" applyNumberFormat="1" applyFont="1" applyBorder="1" applyAlignment="1">
      <alignment vertical="center"/>
    </xf>
    <xf numFmtId="166" fontId="43" fillId="0" borderId="24" xfId="2" applyNumberFormat="1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43" fillId="0" borderId="24" xfId="0" quotePrefix="1" applyFont="1" applyBorder="1" applyAlignment="1">
      <alignment horizontal="center" vertical="center"/>
    </xf>
    <xf numFmtId="0" fontId="43" fillId="0" borderId="24" xfId="0" quotePrefix="1" applyFont="1" applyBorder="1" applyAlignment="1">
      <alignment horizontal="left" vertical="center"/>
    </xf>
    <xf numFmtId="41" fontId="33" fillId="0" borderId="24" xfId="2" quotePrefix="1" applyFont="1" applyBorder="1" applyAlignment="1">
      <alignment horizontal="center" vertical="center"/>
    </xf>
    <xf numFmtId="49" fontId="33" fillId="0" borderId="24" xfId="2" quotePrefix="1" applyNumberFormat="1" applyFont="1" applyBorder="1" applyAlignment="1">
      <alignment horizontal="center" vertical="center"/>
    </xf>
    <xf numFmtId="41" fontId="38" fillId="6" borderId="0" xfId="2" applyFont="1" applyFill="1" applyBorder="1" applyAlignment="1" applyProtection="1">
      <alignment horizontal="center" vertical="center"/>
    </xf>
    <xf numFmtId="4" fontId="38" fillId="6" borderId="0" xfId="0" applyNumberFormat="1" applyFont="1" applyFill="1" applyBorder="1" applyAlignment="1" applyProtection="1">
      <alignment vertical="center"/>
    </xf>
    <xf numFmtId="0" fontId="43" fillId="6" borderId="55" xfId="0" applyNumberFormat="1" applyFont="1" applyFill="1" applyBorder="1" applyAlignment="1" applyProtection="1">
      <alignment horizontal="left" vertical="center"/>
    </xf>
    <xf numFmtId="41" fontId="43" fillId="6" borderId="56" xfId="2" applyFont="1" applyFill="1" applyBorder="1" applyAlignment="1" applyProtection="1">
      <alignment horizontal="center" vertical="center" wrapText="1"/>
    </xf>
    <xf numFmtId="0" fontId="38" fillId="6" borderId="57" xfId="0" applyNumberFormat="1" applyFont="1" applyFill="1" applyBorder="1" applyAlignment="1" applyProtection="1">
      <alignment horizontal="left" vertical="center" wrapText="1"/>
    </xf>
    <xf numFmtId="41" fontId="38" fillId="6" borderId="58" xfId="2" applyFont="1" applyFill="1" applyBorder="1" applyAlignment="1" applyProtection="1">
      <alignment horizontal="center" vertical="center" wrapText="1"/>
    </xf>
    <xf numFmtId="0" fontId="43" fillId="0" borderId="41" xfId="0" applyFont="1" applyFill="1" applyBorder="1" applyAlignment="1">
      <alignment horizontal="center" vertical="center"/>
    </xf>
    <xf numFmtId="166" fontId="43" fillId="0" borderId="41" xfId="2" applyNumberFormat="1" applyFont="1" applyFill="1" applyBorder="1"/>
    <xf numFmtId="0" fontId="43" fillId="0" borderId="41" xfId="0" applyFont="1" applyFill="1" applyBorder="1"/>
    <xf numFmtId="41" fontId="38" fillId="6" borderId="41" xfId="2" applyFont="1" applyFill="1" applyBorder="1" applyAlignment="1" applyProtection="1">
      <alignment horizontal="center" vertical="center" wrapText="1"/>
    </xf>
    <xf numFmtId="0" fontId="43" fillId="6" borderId="59" xfId="0" applyNumberFormat="1" applyFont="1" applyFill="1" applyBorder="1" applyAlignment="1" applyProtection="1">
      <alignment horizontal="left" vertical="center" wrapText="1"/>
    </xf>
    <xf numFmtId="49" fontId="38" fillId="0" borderId="30" xfId="0" applyNumberFormat="1" applyFont="1" applyFill="1" applyBorder="1" applyAlignment="1">
      <alignment horizontal="center" vertical="center"/>
    </xf>
    <xf numFmtId="41" fontId="38" fillId="6" borderId="55" xfId="2" applyFont="1" applyFill="1" applyBorder="1" applyAlignment="1" applyProtection="1">
      <alignment horizontal="center" vertical="center" wrapText="1"/>
    </xf>
    <xf numFmtId="43" fontId="38" fillId="0" borderId="30" xfId="0" applyNumberFormat="1" applyFont="1" applyFill="1" applyBorder="1" applyAlignment="1">
      <alignment horizontal="left" vertical="center"/>
    </xf>
    <xf numFmtId="166" fontId="43" fillId="0" borderId="30" xfId="2" applyNumberFormat="1" applyFont="1" applyFill="1" applyBorder="1" applyAlignment="1">
      <alignment vertical="center"/>
    </xf>
    <xf numFmtId="0" fontId="38" fillId="0" borderId="30" xfId="0" applyFont="1" applyFill="1" applyBorder="1" applyAlignment="1">
      <alignment vertical="center"/>
    </xf>
    <xf numFmtId="49" fontId="38" fillId="0" borderId="34" xfId="0" applyNumberFormat="1" applyFont="1" applyFill="1" applyBorder="1" applyAlignment="1">
      <alignment horizontal="center" vertical="center"/>
    </xf>
    <xf numFmtId="0" fontId="43" fillId="0" borderId="34" xfId="0" applyFont="1" applyFill="1" applyBorder="1" applyAlignment="1">
      <alignment horizontal="left" vertical="center"/>
    </xf>
    <xf numFmtId="41" fontId="43" fillId="0" borderId="34" xfId="2" applyFont="1" applyFill="1" applyBorder="1" applyAlignment="1">
      <alignment horizontal="center" vertical="center"/>
    </xf>
    <xf numFmtId="41" fontId="43" fillId="0" borderId="34" xfId="2" applyFont="1" applyFill="1" applyBorder="1" applyAlignment="1">
      <alignment horizontal="left" vertical="center"/>
    </xf>
    <xf numFmtId="166" fontId="38" fillId="0" borderId="34" xfId="2" applyNumberFormat="1" applyFont="1" applyFill="1" applyBorder="1" applyAlignment="1">
      <alignment vertical="center"/>
    </xf>
    <xf numFmtId="0" fontId="38" fillId="0" borderId="34" xfId="0" applyFont="1" applyFill="1" applyBorder="1"/>
    <xf numFmtId="41" fontId="38" fillId="6" borderId="57" xfId="2" applyFont="1" applyFill="1" applyBorder="1" applyAlignment="1" applyProtection="1">
      <alignment horizontal="center" vertical="center" wrapText="1"/>
    </xf>
    <xf numFmtId="41" fontId="38" fillId="0" borderId="24" xfId="2" applyFont="1" applyBorder="1" applyAlignment="1">
      <alignment horizontal="center" vertical="center" wrapText="1"/>
    </xf>
    <xf numFmtId="41" fontId="44" fillId="0" borderId="24" xfId="2" quotePrefix="1" applyFont="1" applyBorder="1" applyAlignment="1">
      <alignment horizontal="center" vertical="center"/>
    </xf>
    <xf numFmtId="41" fontId="38" fillId="0" borderId="45" xfId="2" applyFont="1" applyFill="1" applyBorder="1" applyAlignment="1">
      <alignment horizontal="left" vertical="center"/>
    </xf>
    <xf numFmtId="41" fontId="38" fillId="0" borderId="26" xfId="2" applyFont="1" applyFill="1" applyBorder="1" applyAlignment="1">
      <alignment horizontal="left" vertical="center"/>
    </xf>
    <xf numFmtId="41" fontId="38" fillId="0" borderId="34" xfId="2" applyFont="1" applyFill="1" applyBorder="1" applyAlignment="1">
      <alignment horizontal="left" vertical="center"/>
    </xf>
    <xf numFmtId="41" fontId="38" fillId="0" borderId="24" xfId="2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41" fontId="38" fillId="0" borderId="18" xfId="2" applyFont="1" applyFill="1" applyBorder="1" applyAlignment="1">
      <alignment horizontal="left" vertical="center"/>
    </xf>
    <xf numFmtId="41" fontId="38" fillId="0" borderId="60" xfId="2" applyFont="1" applyFill="1" applyBorder="1" applyAlignment="1">
      <alignment horizontal="left" vertical="center"/>
    </xf>
    <xf numFmtId="0" fontId="32" fillId="0" borderId="0" xfId="0" applyFont="1"/>
    <xf numFmtId="0" fontId="7" fillId="0" borderId="0" xfId="0" applyFont="1" applyBorder="1" applyAlignment="1"/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top"/>
    </xf>
    <xf numFmtId="3" fontId="6" fillId="0" borderId="0" xfId="2" applyNumberFormat="1" applyFont="1" applyBorder="1" applyAlignment="1">
      <alignment horizontal="right" vertical="center"/>
    </xf>
    <xf numFmtId="41" fontId="0" fillId="0" borderId="0" xfId="2" applyFont="1"/>
    <xf numFmtId="0" fontId="32" fillId="0" borderId="0" xfId="0" applyFont="1" applyFill="1"/>
    <xf numFmtId="41" fontId="32" fillId="0" borderId="0" xfId="2" applyFont="1" applyAlignment="1">
      <alignment vertical="center"/>
    </xf>
    <xf numFmtId="4" fontId="0" fillId="0" borderId="0" xfId="0" applyNumberFormat="1"/>
    <xf numFmtId="41" fontId="32" fillId="0" borderId="0" xfId="2" applyFont="1"/>
    <xf numFmtId="0" fontId="32" fillId="7" borderId="0" xfId="0" applyFont="1" applyFill="1"/>
    <xf numFmtId="41" fontId="32" fillId="7" borderId="0" xfId="2" applyFont="1" applyFill="1"/>
    <xf numFmtId="41" fontId="0" fillId="0" borderId="0" xfId="0" applyNumberFormat="1"/>
    <xf numFmtId="41" fontId="32" fillId="0" borderId="0" xfId="0" applyNumberFormat="1" applyFont="1"/>
    <xf numFmtId="4" fontId="12" fillId="6" borderId="53" xfId="0" applyNumberFormat="1" applyFont="1" applyFill="1" applyBorder="1" applyAlignment="1" applyProtection="1">
      <alignment horizontal="right" vertical="top" wrapText="1"/>
    </xf>
    <xf numFmtId="0" fontId="0" fillId="0" borderId="24" xfId="0" applyBorder="1"/>
    <xf numFmtId="41" fontId="32" fillId="0" borderId="24" xfId="2" applyFont="1" applyBorder="1"/>
    <xf numFmtId="0" fontId="0" fillId="0" borderId="24" xfId="0" applyBorder="1" applyAlignment="1">
      <alignment horizontal="left" wrapText="1"/>
    </xf>
    <xf numFmtId="41" fontId="0" fillId="0" borderId="24" xfId="2" applyFont="1" applyBorder="1" applyAlignment="1">
      <alignment vertical="center"/>
    </xf>
    <xf numFmtId="41" fontId="47" fillId="0" borderId="24" xfId="2" applyFont="1" applyBorder="1" applyAlignment="1">
      <alignment vertical="center"/>
    </xf>
    <xf numFmtId="0" fontId="32" fillId="0" borderId="24" xfId="0" applyFont="1" applyBorder="1"/>
    <xf numFmtId="41" fontId="32" fillId="0" borderId="24" xfId="2" applyFont="1" applyBorder="1" applyAlignment="1">
      <alignment vertical="center"/>
    </xf>
    <xf numFmtId="0" fontId="32" fillId="0" borderId="24" xfId="0" applyFont="1" applyBorder="1" applyAlignment="1">
      <alignment wrapText="1"/>
    </xf>
    <xf numFmtId="0" fontId="0" fillId="0" borderId="0" xfId="0" applyFont="1" applyAlignment="1">
      <alignment vertical="center"/>
    </xf>
    <xf numFmtId="0" fontId="38" fillId="0" borderId="4" xfId="0" applyFont="1" applyBorder="1" applyAlignment="1">
      <alignment horizontal="left" vertical="center"/>
    </xf>
    <xf numFmtId="166" fontId="38" fillId="0" borderId="0" xfId="2" applyNumberFormat="1" applyFont="1" applyBorder="1" applyAlignment="1">
      <alignment vertical="center"/>
    </xf>
    <xf numFmtId="0" fontId="38" fillId="0" borderId="5" xfId="0" applyFont="1" applyBorder="1" applyAlignment="1">
      <alignment horizontal="right" vertical="center"/>
    </xf>
    <xf numFmtId="166" fontId="43" fillId="0" borderId="17" xfId="2" applyNumberFormat="1" applyFont="1" applyBorder="1" applyAlignment="1">
      <alignment horizontal="center" vertical="center" wrapText="1"/>
    </xf>
    <xf numFmtId="166" fontId="43" fillId="0" borderId="18" xfId="2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8" fillId="0" borderId="33" xfId="0" quotePrefix="1" applyFont="1" applyBorder="1" applyAlignment="1">
      <alignment horizontal="center" vertical="center"/>
    </xf>
    <xf numFmtId="0" fontId="38" fillId="0" borderId="34" xfId="0" quotePrefix="1" applyFont="1" applyBorder="1" applyAlignment="1">
      <alignment horizontal="center" vertical="center"/>
    </xf>
    <xf numFmtId="166" fontId="38" fillId="0" borderId="34" xfId="2" quotePrefix="1" applyNumberFormat="1" applyFont="1" applyBorder="1" applyAlignment="1">
      <alignment horizontal="center" vertical="center"/>
    </xf>
    <xf numFmtId="166" fontId="38" fillId="0" borderId="36" xfId="2" quotePrefix="1" applyNumberFormat="1" applyFont="1" applyBorder="1" applyAlignment="1">
      <alignment horizontal="center" vertical="center"/>
    </xf>
    <xf numFmtId="0" fontId="38" fillId="0" borderId="35" xfId="0" quotePrefix="1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left" vertical="center"/>
    </xf>
    <xf numFmtId="166" fontId="38" fillId="0" borderId="26" xfId="2" applyNumberFormat="1" applyFont="1" applyBorder="1" applyAlignment="1">
      <alignment vertical="center"/>
    </xf>
    <xf numFmtId="166" fontId="43" fillId="0" borderId="26" xfId="2" applyNumberFormat="1" applyFont="1" applyBorder="1" applyAlignment="1">
      <alignment vertical="center"/>
    </xf>
    <xf numFmtId="166" fontId="38" fillId="0" borderId="30" xfId="2" applyNumberFormat="1" applyFont="1" applyBorder="1" applyAlignment="1">
      <alignment vertical="center"/>
    </xf>
    <xf numFmtId="166" fontId="38" fillId="0" borderId="34" xfId="2" applyNumberFormat="1" applyFont="1" applyBorder="1" applyAlignment="1">
      <alignment vertical="center"/>
    </xf>
    <xf numFmtId="166" fontId="38" fillId="0" borderId="28" xfId="2" applyNumberFormat="1" applyFont="1" applyBorder="1" applyAlignment="1">
      <alignment vertical="center"/>
    </xf>
    <xf numFmtId="166" fontId="38" fillId="0" borderId="27" xfId="2" applyNumberFormat="1" applyFont="1" applyBorder="1" applyAlignment="1">
      <alignment vertical="center"/>
    </xf>
    <xf numFmtId="0" fontId="38" fillId="0" borderId="4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24" xfId="0" applyFont="1" applyBorder="1" applyAlignment="1">
      <alignment horizontal="right" vertical="center"/>
    </xf>
    <xf numFmtId="0" fontId="38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right" vertical="center"/>
    </xf>
    <xf numFmtId="166" fontId="38" fillId="0" borderId="2" xfId="2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166" fontId="43" fillId="0" borderId="28" xfId="2" applyNumberFormat="1" applyFont="1" applyBorder="1" applyAlignment="1">
      <alignment vertical="center"/>
    </xf>
    <xf numFmtId="166" fontId="43" fillId="0" borderId="27" xfId="2" applyNumberFormat="1" applyFont="1" applyBorder="1" applyAlignment="1">
      <alignment vertical="center"/>
    </xf>
    <xf numFmtId="0" fontId="32" fillId="0" borderId="0" xfId="0" applyFont="1" applyAlignment="1">
      <alignment vertical="center"/>
    </xf>
    <xf numFmtId="166" fontId="38" fillId="0" borderId="32" xfId="2" applyNumberFormat="1" applyFont="1" applyBorder="1" applyAlignment="1">
      <alignment vertical="center"/>
    </xf>
    <xf numFmtId="166" fontId="38" fillId="0" borderId="31" xfId="2" applyNumberFormat="1" applyFont="1" applyBorder="1" applyAlignment="1">
      <alignment vertical="center"/>
    </xf>
    <xf numFmtId="166" fontId="38" fillId="0" borderId="36" xfId="2" applyNumberFormat="1" applyFont="1" applyBorder="1" applyAlignment="1">
      <alignment vertical="center"/>
    </xf>
    <xf numFmtId="166" fontId="38" fillId="0" borderId="35" xfId="2" applyNumberFormat="1" applyFont="1" applyBorder="1" applyAlignment="1">
      <alignment vertical="center"/>
    </xf>
    <xf numFmtId="166" fontId="43" fillId="0" borderId="12" xfId="2" applyNumberFormat="1" applyFont="1" applyBorder="1" applyAlignment="1">
      <alignment vertical="center"/>
    </xf>
    <xf numFmtId="166" fontId="43" fillId="0" borderId="13" xfId="2" applyNumberFormat="1" applyFont="1" applyBorder="1" applyAlignment="1">
      <alignment vertical="center"/>
    </xf>
    <xf numFmtId="0" fontId="43" fillId="0" borderId="11" xfId="0" quotePrefix="1" applyFont="1" applyBorder="1" applyAlignment="1">
      <alignment horizontal="center" vertical="center"/>
    </xf>
    <xf numFmtId="49" fontId="43" fillId="0" borderId="24" xfId="2" quotePrefix="1" applyNumberFormat="1" applyFont="1" applyBorder="1" applyAlignment="1">
      <alignment horizontal="center" vertical="center"/>
    </xf>
    <xf numFmtId="49" fontId="43" fillId="0" borderId="12" xfId="2" quotePrefix="1" applyNumberFormat="1" applyFont="1" applyBorder="1" applyAlignment="1">
      <alignment horizontal="center" vertical="center"/>
    </xf>
    <xf numFmtId="0" fontId="43" fillId="0" borderId="13" xfId="0" quotePrefix="1" applyFont="1" applyBorder="1" applyAlignment="1">
      <alignment horizontal="center" vertical="center"/>
    </xf>
    <xf numFmtId="0" fontId="43" fillId="4" borderId="25" xfId="0" applyFont="1" applyFill="1" applyBorder="1" applyAlignment="1">
      <alignment horizontal="center" vertical="center"/>
    </xf>
    <xf numFmtId="41" fontId="43" fillId="4" borderId="27" xfId="4" applyNumberFormat="1" applyFont="1" applyFill="1" applyBorder="1" applyAlignment="1">
      <alignment vertical="center"/>
    </xf>
    <xf numFmtId="0" fontId="38" fillId="4" borderId="25" xfId="0" applyFont="1" applyFill="1" applyBorder="1" applyAlignment="1">
      <alignment horizontal="center" vertical="center"/>
    </xf>
    <xf numFmtId="0" fontId="44" fillId="4" borderId="26" xfId="0" applyFont="1" applyFill="1" applyBorder="1" applyAlignment="1">
      <alignment horizontal="left" vertical="center"/>
    </xf>
    <xf numFmtId="166" fontId="44" fillId="4" borderId="27" xfId="4" applyNumberFormat="1" applyFont="1" applyFill="1" applyBorder="1" applyAlignment="1">
      <alignment horizontal="left" vertical="center"/>
    </xf>
    <xf numFmtId="0" fontId="38" fillId="0" borderId="25" xfId="0" applyFont="1" applyFill="1" applyBorder="1" applyAlignment="1">
      <alignment horizontal="center" vertical="center"/>
    </xf>
    <xf numFmtId="166" fontId="44" fillId="0" borderId="27" xfId="4" applyNumberFormat="1" applyFont="1" applyFill="1" applyBorder="1" applyAlignment="1">
      <alignment horizontal="left" vertical="center"/>
    </xf>
    <xf numFmtId="0" fontId="38" fillId="4" borderId="29" xfId="0" applyFont="1" applyFill="1" applyBorder="1" applyAlignment="1">
      <alignment horizontal="center" vertical="center"/>
    </xf>
    <xf numFmtId="0" fontId="44" fillId="4" borderId="30" xfId="0" applyFont="1" applyFill="1" applyBorder="1" applyAlignment="1">
      <alignment horizontal="left" vertical="center"/>
    </xf>
    <xf numFmtId="166" fontId="44" fillId="4" borderId="31" xfId="4" applyNumberFormat="1" applyFont="1" applyFill="1" applyBorder="1" applyAlignment="1">
      <alignment horizontal="left" vertical="center"/>
    </xf>
    <xf numFmtId="0" fontId="38" fillId="4" borderId="33" xfId="0" applyFont="1" applyFill="1" applyBorder="1" applyAlignment="1">
      <alignment horizontal="center" vertical="center"/>
    </xf>
    <xf numFmtId="0" fontId="44" fillId="4" borderId="34" xfId="0" applyFont="1" applyFill="1" applyBorder="1" applyAlignment="1">
      <alignment horizontal="left" vertical="center"/>
    </xf>
    <xf numFmtId="166" fontId="44" fillId="4" borderId="35" xfId="4" applyNumberFormat="1" applyFont="1" applyFill="1" applyBorder="1" applyAlignment="1">
      <alignment horizontal="left" vertical="center"/>
    </xf>
    <xf numFmtId="0" fontId="33" fillId="4" borderId="26" xfId="0" applyFont="1" applyFill="1" applyBorder="1" applyAlignment="1">
      <alignment horizontal="left" vertical="center"/>
    </xf>
    <xf numFmtId="167" fontId="44" fillId="0" borderId="26" xfId="1" applyNumberFormat="1" applyFont="1" applyFill="1" applyBorder="1" applyAlignment="1">
      <alignment vertical="center"/>
    </xf>
    <xf numFmtId="169" fontId="32" fillId="0" borderId="0" xfId="0" applyNumberFormat="1" applyFont="1" applyAlignment="1">
      <alignment vertical="center"/>
    </xf>
    <xf numFmtId="4" fontId="38" fillId="6" borderId="0" xfId="0" applyNumberFormat="1" applyFont="1" applyFill="1" applyBorder="1" applyAlignment="1" applyProtection="1">
      <alignment horizontal="right" vertical="center" wrapText="1"/>
    </xf>
    <xf numFmtId="0" fontId="48" fillId="0" borderId="4" xfId="0" applyFont="1" applyBorder="1" applyAlignment="1">
      <alignment vertical="center"/>
    </xf>
    <xf numFmtId="0" fontId="48" fillId="0" borderId="0" xfId="0" applyFont="1" applyBorder="1" applyAlignment="1">
      <alignment vertical="center"/>
    </xf>
    <xf numFmtId="41" fontId="48" fillId="0" borderId="0" xfId="0" applyNumberFormat="1" applyFont="1" applyBorder="1" applyAlignment="1">
      <alignment vertical="center"/>
    </xf>
    <xf numFmtId="0" fontId="45" fillId="0" borderId="6" xfId="0" applyFont="1" applyBorder="1" applyAlignment="1">
      <alignment vertical="center"/>
    </xf>
    <xf numFmtId="0" fontId="45" fillId="0" borderId="7" xfId="0" applyFont="1" applyBorder="1" applyAlignment="1">
      <alignment vertical="center"/>
    </xf>
    <xf numFmtId="41" fontId="48" fillId="0" borderId="0" xfId="2" applyFont="1" applyBorder="1" applyAlignment="1">
      <alignment vertical="center"/>
    </xf>
    <xf numFmtId="41" fontId="38" fillId="0" borderId="52" xfId="2" applyFont="1" applyFill="1" applyBorder="1" applyAlignment="1" applyProtection="1">
      <alignment horizontal="center" vertical="center" wrapText="1"/>
    </xf>
    <xf numFmtId="0" fontId="33" fillId="0" borderId="41" xfId="0" applyFont="1" applyFill="1" applyBorder="1" applyAlignment="1">
      <alignment horizontal="left" vertical="center" wrapText="1"/>
    </xf>
    <xf numFmtId="166" fontId="38" fillId="0" borderId="41" xfId="2" applyNumberFormat="1" applyFont="1" applyBorder="1" applyAlignment="1">
      <alignment vertical="center"/>
    </xf>
    <xf numFmtId="166" fontId="38" fillId="0" borderId="59" xfId="2" applyNumberFormat="1" applyFont="1" applyBorder="1" applyAlignment="1">
      <alignment vertical="center"/>
    </xf>
    <xf numFmtId="166" fontId="38" fillId="0" borderId="61" xfId="2" applyNumberFormat="1" applyFont="1" applyBorder="1" applyAlignment="1">
      <alignment vertical="center"/>
    </xf>
    <xf numFmtId="41" fontId="43" fillId="4" borderId="26" xfId="4" applyNumberFormat="1" applyFont="1" applyFill="1" applyBorder="1" applyAlignment="1">
      <alignment vertical="center"/>
    </xf>
    <xf numFmtId="166" fontId="44" fillId="4" borderId="26" xfId="4" applyNumberFormat="1" applyFont="1" applyFill="1" applyBorder="1" applyAlignment="1">
      <alignment horizontal="left" vertical="center"/>
    </xf>
    <xf numFmtId="166" fontId="44" fillId="0" borderId="26" xfId="4" applyNumberFormat="1" applyFont="1" applyFill="1" applyBorder="1" applyAlignment="1">
      <alignment horizontal="left" vertical="center"/>
    </xf>
    <xf numFmtId="166" fontId="44" fillId="4" borderId="30" xfId="4" applyNumberFormat="1" applyFont="1" applyFill="1" applyBorder="1" applyAlignment="1">
      <alignment horizontal="left" vertical="center"/>
    </xf>
    <xf numFmtId="166" fontId="44" fillId="4" borderId="34" xfId="4" applyNumberFormat="1" applyFont="1" applyFill="1" applyBorder="1" applyAlignment="1">
      <alignment horizontal="left" vertical="center"/>
    </xf>
    <xf numFmtId="41" fontId="33" fillId="4" borderId="26" xfId="4" applyNumberFormat="1" applyFont="1" applyFill="1" applyBorder="1" applyAlignment="1">
      <alignment horizontal="left" vertical="center"/>
    </xf>
    <xf numFmtId="41" fontId="0" fillId="0" borderId="26" xfId="2" applyFont="1" applyBorder="1" applyAlignment="1">
      <alignment vertical="center"/>
    </xf>
    <xf numFmtId="167" fontId="33" fillId="0" borderId="41" xfId="1" applyNumberFormat="1" applyFont="1" applyFill="1" applyBorder="1" applyAlignment="1">
      <alignment vertical="center"/>
    </xf>
    <xf numFmtId="166" fontId="43" fillId="0" borderId="41" xfId="2" applyNumberFormat="1" applyFont="1" applyBorder="1" applyAlignment="1">
      <alignment vertical="center"/>
    </xf>
    <xf numFmtId="41" fontId="43" fillId="0" borderId="24" xfId="2" applyNumberFormat="1" applyFont="1" applyBorder="1" applyAlignment="1">
      <alignment vertical="center"/>
    </xf>
    <xf numFmtId="0" fontId="48" fillId="0" borderId="0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left" vertical="center"/>
    </xf>
    <xf numFmtId="0" fontId="45" fillId="0" borderId="0" xfId="0" applyFont="1" applyBorder="1" applyAlignment="1">
      <alignment vertical="center"/>
    </xf>
    <xf numFmtId="3" fontId="48" fillId="0" borderId="0" xfId="2" applyNumberFormat="1" applyFont="1" applyBorder="1" applyAlignment="1">
      <alignment horizontal="right" vertical="center"/>
    </xf>
    <xf numFmtId="41" fontId="48" fillId="0" borderId="0" xfId="2" applyFont="1" applyBorder="1" applyAlignment="1">
      <alignment horizontal="right" vertical="center"/>
    </xf>
    <xf numFmtId="166" fontId="48" fillId="0" borderId="0" xfId="2" applyNumberFormat="1" applyFont="1" applyBorder="1" applyAlignment="1">
      <alignment horizontal="right" vertical="center"/>
    </xf>
    <xf numFmtId="41" fontId="48" fillId="0" borderId="0" xfId="2" applyFont="1" applyBorder="1" applyAlignment="1">
      <alignment horizontal="left" vertical="center"/>
    </xf>
    <xf numFmtId="166" fontId="48" fillId="0" borderId="0" xfId="2" applyNumberFormat="1" applyFont="1" applyBorder="1" applyAlignment="1">
      <alignment horizontal="left" vertical="center"/>
    </xf>
    <xf numFmtId="0" fontId="45" fillId="0" borderId="0" xfId="0" applyFont="1" applyBorder="1" applyAlignment="1">
      <alignment horizontal="right" vertical="center"/>
    </xf>
    <xf numFmtId="0" fontId="48" fillId="0" borderId="0" xfId="0" applyFont="1" applyAlignment="1">
      <alignment vertical="center"/>
    </xf>
    <xf numFmtId="3" fontId="45" fillId="0" borderId="43" xfId="2" applyNumberFormat="1" applyFont="1" applyBorder="1" applyAlignment="1">
      <alignment horizontal="center" vertical="center" wrapText="1"/>
    </xf>
    <xf numFmtId="41" fontId="45" fillId="0" borderId="43" xfId="2" applyFont="1" applyBorder="1" applyAlignment="1">
      <alignment horizontal="center" vertical="center" wrapText="1"/>
    </xf>
    <xf numFmtId="166" fontId="45" fillId="0" borderId="43" xfId="2" applyNumberFormat="1" applyFont="1" applyBorder="1" applyAlignment="1">
      <alignment horizontal="center" vertical="center" wrapText="1"/>
    </xf>
    <xf numFmtId="0" fontId="45" fillId="0" borderId="49" xfId="0" quotePrefix="1" applyFont="1" applyBorder="1" applyAlignment="1">
      <alignment horizontal="center" vertical="center"/>
    </xf>
    <xf numFmtId="41" fontId="45" fillId="0" borderId="49" xfId="2" quotePrefix="1" applyFont="1" applyBorder="1" applyAlignment="1">
      <alignment horizontal="center" vertical="center"/>
    </xf>
    <xf numFmtId="166" fontId="45" fillId="0" borderId="49" xfId="2" quotePrefix="1" applyNumberFormat="1" applyFont="1" applyBorder="1" applyAlignment="1">
      <alignment horizontal="center" vertical="center"/>
    </xf>
    <xf numFmtId="49" fontId="45" fillId="0" borderId="49" xfId="0" applyNumberFormat="1" applyFont="1" applyBorder="1" applyAlignment="1">
      <alignment horizontal="center" vertical="center"/>
    </xf>
    <xf numFmtId="0" fontId="48" fillId="0" borderId="34" xfId="0" quotePrefix="1" applyFont="1" applyBorder="1" applyAlignment="1">
      <alignment horizontal="center" vertical="center"/>
    </xf>
    <xf numFmtId="0" fontId="45" fillId="0" borderId="34" xfId="0" quotePrefix="1" applyFont="1" applyBorder="1" applyAlignment="1">
      <alignment horizontal="center" vertical="center"/>
    </xf>
    <xf numFmtId="41" fontId="45" fillId="0" borderId="34" xfId="2" quotePrefix="1" applyFont="1" applyBorder="1" applyAlignment="1">
      <alignment horizontal="center" vertical="center"/>
    </xf>
    <xf numFmtId="166" fontId="48" fillId="0" borderId="34" xfId="2" quotePrefix="1" applyNumberFormat="1" applyFont="1" applyBorder="1" applyAlignment="1">
      <alignment horizontal="center" vertical="center"/>
    </xf>
    <xf numFmtId="0" fontId="48" fillId="0" borderId="34" xfId="0" applyFont="1" applyBorder="1" applyAlignment="1">
      <alignment vertical="center"/>
    </xf>
    <xf numFmtId="0" fontId="45" fillId="0" borderId="26" xfId="0" applyFont="1" applyFill="1" applyBorder="1" applyAlignment="1">
      <alignment horizontal="center" vertical="center"/>
    </xf>
    <xf numFmtId="0" fontId="45" fillId="0" borderId="26" xfId="0" applyFont="1" applyFill="1" applyBorder="1" applyAlignment="1">
      <alignment horizontal="left" vertical="center"/>
    </xf>
    <xf numFmtId="166" fontId="45" fillId="0" borderId="26" xfId="2" applyNumberFormat="1" applyFont="1" applyFill="1" applyBorder="1" applyAlignment="1">
      <alignment vertical="center"/>
    </xf>
    <xf numFmtId="166" fontId="45" fillId="0" borderId="26" xfId="2" applyNumberFormat="1" applyFont="1" applyBorder="1" applyAlignment="1">
      <alignment vertical="center"/>
    </xf>
    <xf numFmtId="0" fontId="45" fillId="0" borderId="26" xfId="0" applyFont="1" applyBorder="1" applyAlignment="1">
      <alignment vertical="center"/>
    </xf>
    <xf numFmtId="0" fontId="45" fillId="0" borderId="34" xfId="0" applyNumberFormat="1" applyFont="1" applyFill="1" applyBorder="1" applyAlignment="1" applyProtection="1">
      <alignment vertical="center"/>
    </xf>
    <xf numFmtId="166" fontId="45" fillId="0" borderId="34" xfId="2" applyNumberFormat="1" applyFont="1" applyFill="1" applyBorder="1" applyAlignment="1">
      <alignment vertical="center"/>
    </xf>
    <xf numFmtId="0" fontId="45" fillId="0" borderId="26" xfId="0" applyFont="1" applyFill="1" applyBorder="1" applyAlignment="1">
      <alignment vertical="center"/>
    </xf>
    <xf numFmtId="0" fontId="45" fillId="6" borderId="26" xfId="0" applyNumberFormat="1" applyFont="1" applyFill="1" applyBorder="1" applyAlignment="1" applyProtection="1">
      <alignment vertical="center"/>
    </xf>
    <xf numFmtId="0" fontId="48" fillId="0" borderId="26" xfId="0" applyFont="1" applyFill="1" applyBorder="1" applyAlignment="1">
      <alignment horizontal="center" vertical="center"/>
    </xf>
    <xf numFmtId="0" fontId="48" fillId="6" borderId="26" xfId="0" applyNumberFormat="1" applyFont="1" applyFill="1" applyBorder="1" applyAlignment="1" applyProtection="1">
      <alignment vertical="center"/>
    </xf>
    <xf numFmtId="166" fontId="48" fillId="0" borderId="26" xfId="2" applyNumberFormat="1" applyFont="1" applyFill="1" applyBorder="1" applyAlignment="1">
      <alignment vertical="center"/>
    </xf>
    <xf numFmtId="166" fontId="48" fillId="0" borderId="26" xfId="2" applyNumberFormat="1" applyFont="1" applyBorder="1" applyAlignment="1">
      <alignment vertical="center"/>
    </xf>
    <xf numFmtId="0" fontId="48" fillId="0" borderId="26" xfId="0" applyFont="1" applyBorder="1" applyAlignment="1">
      <alignment vertical="center"/>
    </xf>
    <xf numFmtId="0" fontId="45" fillId="6" borderId="26" xfId="0" applyNumberFormat="1" applyFont="1" applyFill="1" applyBorder="1" applyAlignment="1" applyProtection="1">
      <alignment vertical="center" wrapText="1"/>
    </xf>
    <xf numFmtId="0" fontId="48" fillId="6" borderId="26" xfId="0" applyNumberFormat="1" applyFont="1" applyFill="1" applyBorder="1" applyAlignment="1" applyProtection="1">
      <alignment vertical="center" wrapText="1"/>
    </xf>
    <xf numFmtId="0" fontId="48" fillId="0" borderId="26" xfId="0" applyNumberFormat="1" applyFont="1" applyFill="1" applyBorder="1" applyAlignment="1" applyProtection="1">
      <alignment vertical="center"/>
    </xf>
    <xf numFmtId="0" fontId="48" fillId="0" borderId="26" xfId="0" applyFont="1" applyFill="1" applyBorder="1" applyAlignment="1">
      <alignment vertical="center"/>
    </xf>
    <xf numFmtId="0" fontId="48" fillId="6" borderId="26" xfId="0" applyNumberFormat="1" applyFont="1" applyFill="1" applyBorder="1" applyAlignment="1" applyProtection="1">
      <alignment horizontal="left" vertical="center" wrapText="1"/>
    </xf>
    <xf numFmtId="0" fontId="45" fillId="0" borderId="26" xfId="0" applyNumberFormat="1" applyFont="1" applyFill="1" applyBorder="1" applyAlignment="1" applyProtection="1">
      <alignment vertical="center"/>
    </xf>
    <xf numFmtId="0" fontId="48" fillId="6" borderId="41" xfId="0" applyNumberFormat="1" applyFont="1" applyFill="1" applyBorder="1" applyAlignment="1" applyProtection="1">
      <alignment vertical="center"/>
    </xf>
    <xf numFmtId="0" fontId="48" fillId="0" borderId="49" xfId="0" applyFont="1" applyBorder="1" applyAlignment="1">
      <alignment horizontal="center" vertical="center"/>
    </xf>
    <xf numFmtId="0" fontId="45" fillId="0" borderId="49" xfId="0" applyFont="1" applyBorder="1" applyAlignment="1">
      <alignment horizontal="right" vertical="center"/>
    </xf>
    <xf numFmtId="41" fontId="45" fillId="0" borderId="49" xfId="2" applyFont="1" applyBorder="1" applyAlignment="1">
      <alignment vertical="center"/>
    </xf>
    <xf numFmtId="166" fontId="45" fillId="0" borderId="49" xfId="2" applyNumberFormat="1" applyFont="1" applyBorder="1" applyAlignment="1">
      <alignment vertical="center"/>
    </xf>
    <xf numFmtId="0" fontId="48" fillId="0" borderId="49" xfId="0" applyFont="1" applyBorder="1" applyAlignment="1">
      <alignment vertical="center"/>
    </xf>
    <xf numFmtId="3" fontId="11" fillId="0" borderId="0" xfId="0" applyNumberFormat="1" applyFont="1" applyBorder="1" applyAlignment="1">
      <alignment horizontal="right" vertical="center"/>
    </xf>
    <xf numFmtId="3" fontId="45" fillId="0" borderId="49" xfId="2" quotePrefix="1" applyNumberFormat="1" applyFont="1" applyBorder="1" applyAlignment="1">
      <alignment horizontal="right" vertical="center"/>
    </xf>
    <xf numFmtId="3" fontId="45" fillId="0" borderId="34" xfId="2" quotePrefix="1" applyNumberFormat="1" applyFont="1" applyBorder="1" applyAlignment="1">
      <alignment horizontal="right" vertical="center"/>
    </xf>
    <xf numFmtId="3" fontId="45" fillId="0" borderId="26" xfId="2" applyNumberFormat="1" applyFont="1" applyFill="1" applyBorder="1" applyAlignment="1">
      <alignment horizontal="right" vertical="center"/>
    </xf>
    <xf numFmtId="3" fontId="45" fillId="0" borderId="34" xfId="0" applyNumberFormat="1" applyFont="1" applyFill="1" applyBorder="1" applyAlignment="1" applyProtection="1">
      <alignment horizontal="right" vertical="center"/>
    </xf>
    <xf numFmtId="3" fontId="45" fillId="6" borderId="26" xfId="0" applyNumberFormat="1" applyFont="1" applyFill="1" applyBorder="1" applyAlignment="1" applyProtection="1">
      <alignment horizontal="right" vertical="center"/>
    </xf>
    <xf numFmtId="3" fontId="48" fillId="6" borderId="26" xfId="0" applyNumberFormat="1" applyFont="1" applyFill="1" applyBorder="1" applyAlignment="1" applyProtection="1">
      <alignment horizontal="right" vertical="center"/>
    </xf>
    <xf numFmtId="3" fontId="48" fillId="0" borderId="26" xfId="0" applyNumberFormat="1" applyFont="1" applyFill="1" applyBorder="1" applyAlignment="1" applyProtection="1">
      <alignment horizontal="right" vertical="center"/>
    </xf>
    <xf numFmtId="3" fontId="45" fillId="0" borderId="26" xfId="0" applyNumberFormat="1" applyFont="1" applyFill="1" applyBorder="1" applyAlignment="1" applyProtection="1">
      <alignment horizontal="right" vertical="center"/>
    </xf>
    <xf numFmtId="3" fontId="48" fillId="6" borderId="41" xfId="0" applyNumberFormat="1" applyFont="1" applyFill="1" applyBorder="1" applyAlignment="1" applyProtection="1">
      <alignment horizontal="right" vertical="center"/>
    </xf>
    <xf numFmtId="3" fontId="45" fillId="0" borderId="49" xfId="2" applyNumberFormat="1" applyFont="1" applyBorder="1" applyAlignment="1">
      <alignment horizontal="right" vertical="center"/>
    </xf>
    <xf numFmtId="3" fontId="6" fillId="0" borderId="0" xfId="2" applyNumberFormat="1" applyFont="1" applyAlignment="1">
      <alignment horizontal="right" vertical="center"/>
    </xf>
    <xf numFmtId="0" fontId="45" fillId="0" borderId="26" xfId="0" applyNumberFormat="1" applyFont="1" applyFill="1" applyBorder="1" applyAlignment="1" applyProtection="1">
      <alignment vertical="center" wrapText="1"/>
    </xf>
    <xf numFmtId="166" fontId="49" fillId="0" borderId="43" xfId="2" applyNumberFormat="1" applyFont="1" applyFill="1" applyBorder="1" applyAlignment="1">
      <alignment horizontal="center" vertical="center" wrapText="1"/>
    </xf>
    <xf numFmtId="0" fontId="49" fillId="0" borderId="45" xfId="0" quotePrefix="1" applyFont="1" applyFill="1" applyBorder="1" applyAlignment="1">
      <alignment horizontal="center" vertical="center"/>
    </xf>
    <xf numFmtId="49" fontId="49" fillId="0" borderId="49" xfId="0" applyNumberFormat="1" applyFont="1" applyFill="1" applyBorder="1" applyAlignment="1">
      <alignment horizontal="center" vertical="center"/>
    </xf>
    <xf numFmtId="164" fontId="49" fillId="0" borderId="49" xfId="0" quotePrefix="1" applyNumberFormat="1" applyFont="1" applyFill="1" applyBorder="1" applyAlignment="1">
      <alignment horizontal="center" vertical="center"/>
    </xf>
    <xf numFmtId="0" fontId="49" fillId="0" borderId="49" xfId="0" quotePrefix="1" applyNumberFormat="1" applyFont="1" applyFill="1" applyBorder="1" applyAlignment="1">
      <alignment horizontal="center" vertical="center"/>
    </xf>
    <xf numFmtId="0" fontId="50" fillId="0" borderId="46" xfId="0" quotePrefix="1" applyFont="1" applyFill="1" applyBorder="1" applyAlignment="1">
      <alignment horizontal="center" vertical="center"/>
    </xf>
    <xf numFmtId="165" fontId="49" fillId="0" borderId="46" xfId="0" quotePrefix="1" applyNumberFormat="1" applyFont="1" applyFill="1" applyBorder="1" applyAlignment="1">
      <alignment horizontal="center" vertical="center"/>
    </xf>
    <xf numFmtId="165" fontId="50" fillId="0" borderId="46" xfId="0" applyNumberFormat="1" applyFont="1" applyFill="1" applyBorder="1" applyAlignment="1">
      <alignment vertical="center"/>
    </xf>
    <xf numFmtId="41" fontId="50" fillId="0" borderId="46" xfId="2" applyFont="1" applyFill="1" applyBorder="1" applyAlignment="1">
      <alignment vertical="center"/>
    </xf>
    <xf numFmtId="168" fontId="50" fillId="0" borderId="46" xfId="0" applyNumberFormat="1" applyFont="1" applyFill="1" applyBorder="1" applyAlignment="1">
      <alignment vertical="center"/>
    </xf>
    <xf numFmtId="0" fontId="49" fillId="0" borderId="26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left" vertical="center"/>
    </xf>
    <xf numFmtId="166" fontId="49" fillId="0" borderId="26" xfId="2" applyNumberFormat="1" applyFont="1" applyFill="1" applyBorder="1" applyAlignment="1">
      <alignment vertical="center"/>
    </xf>
    <xf numFmtId="41" fontId="49" fillId="0" borderId="26" xfId="2" applyFont="1" applyFill="1" applyBorder="1" applyAlignment="1">
      <alignment vertical="center"/>
    </xf>
    <xf numFmtId="165" fontId="49" fillId="0" borderId="26" xfId="0" applyNumberFormat="1" applyFont="1" applyFill="1" applyBorder="1" applyAlignment="1">
      <alignment vertical="center"/>
    </xf>
    <xf numFmtId="0" fontId="49" fillId="0" borderId="26" xfId="0" applyNumberFormat="1" applyFont="1" applyFill="1" applyBorder="1" applyAlignment="1" applyProtection="1">
      <alignment vertical="center"/>
    </xf>
    <xf numFmtId="166" fontId="49" fillId="0" borderId="26" xfId="31" applyNumberFormat="1" applyFont="1" applyFill="1" applyBorder="1" applyAlignment="1">
      <alignment horizontal="right" vertical="center" wrapText="1"/>
    </xf>
    <xf numFmtId="0" fontId="51" fillId="0" borderId="26" xfId="5" applyFont="1" applyFill="1" applyBorder="1" applyAlignment="1">
      <alignment vertical="center"/>
    </xf>
    <xf numFmtId="166" fontId="49" fillId="0" borderId="26" xfId="31" applyNumberFormat="1" applyFont="1" applyFill="1" applyBorder="1" applyAlignment="1" applyProtection="1">
      <alignment horizontal="right" vertical="center" wrapText="1"/>
    </xf>
    <xf numFmtId="39" fontId="51" fillId="0" borderId="26" xfId="5" applyNumberFormat="1" applyFont="1" applyFill="1" applyBorder="1" applyAlignment="1">
      <alignment horizontal="right" vertical="center"/>
    </xf>
    <xf numFmtId="0" fontId="50" fillId="0" borderId="26" xfId="0" applyFont="1" applyFill="1" applyBorder="1" applyAlignment="1">
      <alignment horizontal="center" vertical="center"/>
    </xf>
    <xf numFmtId="0" fontId="52" fillId="0" borderId="26" xfId="5" applyFont="1" applyFill="1" applyBorder="1" applyAlignment="1">
      <alignment horizontal="left" vertical="center" wrapText="1"/>
    </xf>
    <xf numFmtId="166" fontId="50" fillId="0" borderId="26" xfId="31" applyNumberFormat="1" applyFont="1" applyFill="1" applyBorder="1" applyAlignment="1" applyProtection="1">
      <alignment horizontal="right" vertical="center" wrapText="1"/>
    </xf>
    <xf numFmtId="39" fontId="52" fillId="0" borderId="26" xfId="5" applyNumberFormat="1" applyFont="1" applyFill="1" applyBorder="1" applyAlignment="1">
      <alignment horizontal="right" vertical="center"/>
    </xf>
    <xf numFmtId="165" fontId="50" fillId="0" borderId="26" xfId="0" applyNumberFormat="1" applyFont="1" applyFill="1" applyBorder="1" applyAlignment="1">
      <alignment vertical="center"/>
    </xf>
    <xf numFmtId="0" fontId="51" fillId="0" borderId="26" xfId="5" applyFont="1" applyFill="1" applyBorder="1" applyAlignment="1">
      <alignment vertical="center" wrapText="1"/>
    </xf>
    <xf numFmtId="0" fontId="49" fillId="0" borderId="26" xfId="0" applyNumberFormat="1" applyFont="1" applyFill="1" applyBorder="1" applyAlignment="1" applyProtection="1">
      <alignment horizontal="left" vertical="center" wrapText="1"/>
    </xf>
    <xf numFmtId="166" fontId="49" fillId="0" borderId="26" xfId="0" applyNumberFormat="1" applyFont="1" applyFill="1" applyBorder="1" applyAlignment="1">
      <alignment horizontal="right" vertical="center" wrapText="1"/>
    </xf>
    <xf numFmtId="0" fontId="50" fillId="0" borderId="26" xfId="0" applyNumberFormat="1" applyFont="1" applyFill="1" applyBorder="1" applyAlignment="1" applyProtection="1">
      <alignment horizontal="left" vertical="center" wrapText="1"/>
    </xf>
    <xf numFmtId="0" fontId="52" fillId="0" borderId="26" xfId="5" applyFont="1" applyFill="1" applyBorder="1" applyAlignment="1">
      <alignment vertical="center"/>
    </xf>
    <xf numFmtId="0" fontId="49" fillId="0" borderId="26" xfId="0" applyFont="1" applyFill="1" applyBorder="1" applyAlignment="1">
      <alignment vertical="center"/>
    </xf>
    <xf numFmtId="0" fontId="49" fillId="0" borderId="26" xfId="0" applyFont="1" applyFill="1" applyBorder="1" applyAlignment="1">
      <alignment vertical="center" wrapText="1"/>
    </xf>
    <xf numFmtId="41" fontId="50" fillId="0" borderId="26" xfId="2" applyFont="1" applyFill="1" applyBorder="1" applyAlignment="1">
      <alignment vertical="center"/>
    </xf>
    <xf numFmtId="0" fontId="51" fillId="0" borderId="26" xfId="5" applyFont="1" applyFill="1" applyBorder="1" applyAlignment="1">
      <alignment horizontal="left" vertical="center" wrapText="1"/>
    </xf>
    <xf numFmtId="166" fontId="50" fillId="0" borderId="26" xfId="31" applyNumberFormat="1" applyFont="1" applyFill="1" applyBorder="1" applyAlignment="1">
      <alignment horizontal="right" vertical="center" wrapText="1"/>
    </xf>
    <xf numFmtId="0" fontId="50" fillId="0" borderId="26" xfId="0" applyFont="1" applyFill="1" applyBorder="1" applyAlignment="1">
      <alignment vertical="center"/>
    </xf>
    <xf numFmtId="166" fontId="49" fillId="0" borderId="26" xfId="0" applyNumberFormat="1" applyFont="1" applyFill="1" applyBorder="1" applyAlignment="1" applyProtection="1">
      <alignment horizontal="right" vertical="center" wrapText="1"/>
    </xf>
    <xf numFmtId="0" fontId="50" fillId="0" borderId="26" xfId="0" applyFont="1" applyFill="1" applyBorder="1" applyAlignment="1">
      <alignment vertical="center" wrapText="1"/>
    </xf>
    <xf numFmtId="0" fontId="50" fillId="0" borderId="30" xfId="0" applyFont="1" applyFill="1" applyBorder="1" applyAlignment="1">
      <alignment horizontal="center" vertical="center"/>
    </xf>
    <xf numFmtId="0" fontId="49" fillId="0" borderId="30" xfId="0" applyFont="1" applyFill="1" applyBorder="1" applyAlignment="1">
      <alignment horizontal="left" vertical="center" wrapText="1"/>
    </xf>
    <xf numFmtId="166" fontId="50" fillId="0" borderId="30" xfId="31" applyNumberFormat="1" applyFont="1" applyFill="1" applyBorder="1" applyAlignment="1" applyProtection="1">
      <alignment horizontal="right" vertical="center" wrapText="1"/>
    </xf>
    <xf numFmtId="165" fontId="49" fillId="0" borderId="30" xfId="0" applyNumberFormat="1" applyFont="1" applyFill="1" applyBorder="1" applyAlignment="1">
      <alignment vertical="center"/>
    </xf>
    <xf numFmtId="0" fontId="50" fillId="0" borderId="47" xfId="0" applyFont="1" applyFill="1" applyBorder="1" applyAlignment="1">
      <alignment horizontal="center" vertical="center"/>
    </xf>
    <xf numFmtId="0" fontId="50" fillId="0" borderId="47" xfId="0" applyFont="1" applyFill="1" applyBorder="1" applyAlignment="1">
      <alignment horizontal="left" vertical="center"/>
    </xf>
    <xf numFmtId="0" fontId="50" fillId="0" borderId="47" xfId="0" applyFont="1" applyFill="1" applyBorder="1" applyAlignment="1">
      <alignment vertical="center"/>
    </xf>
    <xf numFmtId="41" fontId="50" fillId="0" borderId="47" xfId="2" applyFont="1" applyFill="1" applyBorder="1" applyAlignment="1">
      <alignment vertical="center"/>
    </xf>
    <xf numFmtId="165" fontId="49" fillId="0" borderId="47" xfId="0" applyNumberFormat="1" applyFont="1" applyFill="1" applyBorder="1" applyAlignment="1">
      <alignment vertical="center"/>
    </xf>
    <xf numFmtId="0" fontId="50" fillId="0" borderId="48" xfId="0" applyFont="1" applyFill="1" applyBorder="1" applyAlignment="1">
      <alignment horizontal="center" vertical="center"/>
    </xf>
    <xf numFmtId="0" fontId="49" fillId="0" borderId="48" xfId="0" applyFont="1" applyFill="1" applyBorder="1" applyAlignment="1">
      <alignment horizontal="right" vertical="center"/>
    </xf>
    <xf numFmtId="166" fontId="49" fillId="0" borderId="48" xfId="0" applyNumberFormat="1" applyFont="1" applyFill="1" applyBorder="1" applyAlignment="1">
      <alignment vertical="center"/>
    </xf>
    <xf numFmtId="41" fontId="49" fillId="0" borderId="48" xfId="2" applyFont="1" applyFill="1" applyBorder="1" applyAlignment="1">
      <alignment vertical="center"/>
    </xf>
    <xf numFmtId="165" fontId="49" fillId="0" borderId="48" xfId="0" applyNumberFormat="1" applyFont="1" applyFill="1" applyBorder="1" applyAlignment="1">
      <alignment vertical="center"/>
    </xf>
    <xf numFmtId="43" fontId="14" fillId="0" borderId="48" xfId="0" applyNumberFormat="1" applyFont="1" applyFill="1" applyBorder="1" applyAlignment="1">
      <alignment vertical="center"/>
    </xf>
    <xf numFmtId="41" fontId="16" fillId="0" borderId="0" xfId="0" quotePrefix="1" applyNumberFormat="1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66" fontId="11" fillId="0" borderId="11" xfId="2" applyNumberFormat="1" applyFont="1" applyBorder="1" applyAlignment="1">
      <alignment horizontal="center" vertical="center" wrapText="1"/>
    </xf>
    <xf numFmtId="166" fontId="11" fillId="0" borderId="12" xfId="2" applyNumberFormat="1" applyFont="1" applyBorder="1" applyAlignment="1">
      <alignment horizontal="center" vertical="center" wrapText="1"/>
    </xf>
    <xf numFmtId="166" fontId="11" fillId="0" borderId="13" xfId="2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166" fontId="11" fillId="0" borderId="0" xfId="2" applyNumberFormat="1" applyFont="1" applyBorder="1" applyAlignment="1">
      <alignment horizontal="center" vertical="center" wrapText="1"/>
    </xf>
    <xf numFmtId="166" fontId="11" fillId="0" borderId="17" xfId="2" applyNumberFormat="1" applyFont="1" applyBorder="1" applyAlignment="1">
      <alignment horizontal="center" vertical="center" wrapText="1"/>
    </xf>
    <xf numFmtId="166" fontId="11" fillId="0" borderId="22" xfId="2" applyNumberFormat="1" applyFont="1" applyBorder="1" applyAlignment="1">
      <alignment horizontal="center" vertical="center" wrapText="1"/>
    </xf>
    <xf numFmtId="166" fontId="11" fillId="0" borderId="18" xfId="2" applyNumberFormat="1" applyFont="1" applyBorder="1" applyAlignment="1">
      <alignment horizontal="center" vertical="center" wrapText="1"/>
    </xf>
    <xf numFmtId="166" fontId="11" fillId="3" borderId="18" xfId="2" applyNumberFormat="1" applyFont="1" applyFill="1" applyBorder="1" applyAlignment="1">
      <alignment horizontal="center" vertical="center" wrapText="1"/>
    </xf>
    <xf numFmtId="166" fontId="11" fillId="0" borderId="18" xfId="2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38" fillId="0" borderId="4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8" fillId="0" borderId="5" xfId="0" applyFont="1" applyBorder="1" applyAlignment="1">
      <alignment horizontal="left" vertical="center"/>
    </xf>
    <xf numFmtId="0" fontId="48" fillId="0" borderId="4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/>
    </xf>
    <xf numFmtId="0" fontId="48" fillId="0" borderId="5" xfId="0" applyFont="1" applyBorder="1" applyAlignment="1">
      <alignment horizontal="left" vertical="center"/>
    </xf>
    <xf numFmtId="0" fontId="32" fillId="0" borderId="0" xfId="0" quotePrefix="1" applyFont="1" applyAlignment="1">
      <alignment horizontal="left"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5" fillId="0" borderId="8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20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166" fontId="43" fillId="0" borderId="11" xfId="2" applyNumberFormat="1" applyFont="1" applyBorder="1" applyAlignment="1">
      <alignment horizontal="center" vertical="center" wrapText="1"/>
    </xf>
    <xf numFmtId="166" fontId="43" fillId="0" borderId="12" xfId="2" applyNumberFormat="1" applyFont="1" applyBorder="1" applyAlignment="1">
      <alignment horizontal="center" vertical="center" wrapText="1"/>
    </xf>
    <xf numFmtId="166" fontId="43" fillId="0" borderId="13" xfId="2" applyNumberFormat="1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166" fontId="43" fillId="0" borderId="17" xfId="2" applyNumberFormat="1" applyFont="1" applyBorder="1" applyAlignment="1">
      <alignment horizontal="center" vertical="center" wrapText="1"/>
    </xf>
    <xf numFmtId="166" fontId="43" fillId="0" borderId="18" xfId="2" applyNumberFormat="1" applyFont="1" applyBorder="1" applyAlignment="1">
      <alignment horizontal="center" vertical="center" wrapText="1"/>
    </xf>
    <xf numFmtId="166" fontId="43" fillId="0" borderId="22" xfId="2" applyNumberFormat="1" applyFont="1" applyBorder="1" applyAlignment="1">
      <alignment horizontal="center" vertical="center" wrapText="1"/>
    </xf>
    <xf numFmtId="166" fontId="43" fillId="0" borderId="0" xfId="2" applyNumberFormat="1" applyFont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166" fontId="15" fillId="0" borderId="11" xfId="2" applyNumberFormat="1" applyFont="1" applyFill="1" applyBorder="1" applyAlignment="1">
      <alignment horizontal="center" vertical="center"/>
    </xf>
    <xf numFmtId="166" fontId="15" fillId="0" borderId="12" xfId="2" applyNumberFormat="1" applyFont="1" applyFill="1" applyBorder="1" applyAlignment="1">
      <alignment horizontal="center" vertical="center"/>
    </xf>
    <xf numFmtId="166" fontId="15" fillId="0" borderId="13" xfId="2" applyNumberFormat="1" applyFont="1" applyFill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top"/>
    </xf>
    <xf numFmtId="0" fontId="45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horizontal="right"/>
    </xf>
    <xf numFmtId="0" fontId="43" fillId="0" borderId="17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/>
    </xf>
    <xf numFmtId="166" fontId="43" fillId="0" borderId="24" xfId="2" applyNumberFormat="1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166" fontId="15" fillId="0" borderId="17" xfId="2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166" fontId="11" fillId="0" borderId="24" xfId="2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9" fillId="0" borderId="17" xfId="0" applyFont="1" applyFill="1" applyBorder="1" applyAlignment="1">
      <alignment horizontal="center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39" xfId="0" applyFont="1" applyFill="1" applyBorder="1" applyAlignment="1">
      <alignment horizontal="center" vertical="center"/>
    </xf>
    <xf numFmtId="0" fontId="49" fillId="0" borderId="30" xfId="0" applyFont="1" applyFill="1" applyBorder="1" applyAlignment="1">
      <alignment horizontal="center" vertical="center"/>
    </xf>
    <xf numFmtId="166" fontId="49" fillId="0" borderId="17" xfId="2" applyNumberFormat="1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left" vertical="center"/>
    </xf>
    <xf numFmtId="166" fontId="45" fillId="0" borderId="17" xfId="2" applyNumberFormat="1" applyFont="1" applyBorder="1" applyAlignment="1">
      <alignment horizontal="center" vertical="center"/>
    </xf>
    <xf numFmtId="0" fontId="45" fillId="0" borderId="39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0" fontId="45" fillId="0" borderId="30" xfId="0" applyFont="1" applyBorder="1" applyAlignment="1">
      <alignment horizontal="center" vertical="center"/>
    </xf>
    <xf numFmtId="166" fontId="45" fillId="0" borderId="11" xfId="2" applyNumberFormat="1" applyFont="1" applyBorder="1" applyAlignment="1">
      <alignment horizontal="center" vertical="center" wrapText="1"/>
    </xf>
    <xf numFmtId="166" fontId="45" fillId="0" borderId="12" xfId="2" applyNumberFormat="1" applyFont="1" applyBorder="1" applyAlignment="1">
      <alignment horizontal="center" vertical="center" wrapText="1"/>
    </xf>
    <xf numFmtId="166" fontId="45" fillId="0" borderId="13" xfId="2" applyNumberFormat="1" applyFont="1" applyBorder="1" applyAlignment="1">
      <alignment horizontal="center" vertical="center" wrapText="1"/>
    </xf>
  </cellXfs>
  <cellStyles count="190">
    <cellStyle name="Bad 2" xfId="44"/>
    <cellStyle name="Comma" xfId="1" builtinId="3"/>
    <cellStyle name="Comma [0]" xfId="2" builtinId="6"/>
    <cellStyle name="Comma [0] 10 10" xfId="31"/>
    <cellStyle name="Comma [0] 10 2" xfId="4"/>
    <cellStyle name="Comma [0] 10 2 8" xfId="45"/>
    <cellStyle name="Comma [0] 2" xfId="11"/>
    <cellStyle name="Comma [0] 2 10" xfId="32"/>
    <cellStyle name="Comma [0] 2 2" xfId="46"/>
    <cellStyle name="Comma [0] 2 20 2 2" xfId="47"/>
    <cellStyle name="Comma [0] 2 20 2 2 2" xfId="48"/>
    <cellStyle name="Comma [0] 3" xfId="49"/>
    <cellStyle name="Comma [0] 3 2" xfId="50"/>
    <cellStyle name="Comma [0] 4" xfId="6"/>
    <cellStyle name="Comma [0] 5" xfId="51"/>
    <cellStyle name="Comma [0] 6" xfId="52"/>
    <cellStyle name="Comma 10" xfId="53"/>
    <cellStyle name="Comma 10 2" xfId="54"/>
    <cellStyle name="Comma 11" xfId="55"/>
    <cellStyle name="Comma 11 2 10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2" xfId="33"/>
    <cellStyle name="Comma 2 2" xfId="8"/>
    <cellStyle name="Comma 20" xfId="64"/>
    <cellStyle name="Comma 21" xfId="65"/>
    <cellStyle name="Comma 3" xfId="10"/>
    <cellStyle name="Comma 3 2" xfId="66"/>
    <cellStyle name="Comma 4" xfId="67"/>
    <cellStyle name="Comma 4 2" xfId="68"/>
    <cellStyle name="Comma 5" xfId="69"/>
    <cellStyle name="Comma 5 2" xfId="70"/>
    <cellStyle name="Comma 6" xfId="71"/>
    <cellStyle name="Comma 6 2" xfId="72"/>
    <cellStyle name="Comma 7" xfId="73"/>
    <cellStyle name="Comma 7 2" xfId="74"/>
    <cellStyle name="Comma 8" xfId="75"/>
    <cellStyle name="Comma 8 2" xfId="76"/>
    <cellStyle name="Comma 9" xfId="77"/>
    <cellStyle name="Comma 9 2" xfId="78"/>
    <cellStyle name="Currency [0] 2" xfId="7"/>
    <cellStyle name="Normal" xfId="0" builtinId="0"/>
    <cellStyle name="Normal 10" xfId="28"/>
    <cellStyle name="Normal 10 2" xfId="14"/>
    <cellStyle name="Normal 10 3" xfId="187"/>
    <cellStyle name="Normal 10 5" xfId="79"/>
    <cellStyle name="Normal 100" xfId="80"/>
    <cellStyle name="Normal 101" xfId="81"/>
    <cellStyle name="Normal 102" xfId="82"/>
    <cellStyle name="Normal 103" xfId="34"/>
    <cellStyle name="Normal 104" xfId="35"/>
    <cellStyle name="Normal 105" xfId="41"/>
    <cellStyle name="Normal 106" xfId="42"/>
    <cellStyle name="Normal 107" xfId="43"/>
    <cellStyle name="Normal 108" xfId="83"/>
    <cellStyle name="Normal 109" xfId="84"/>
    <cellStyle name="Normal 11" xfId="15"/>
    <cellStyle name="Normal 110" xfId="85"/>
    <cellStyle name="Normal 111" xfId="86"/>
    <cellStyle name="Normal 112" xfId="87"/>
    <cellStyle name="Normal 113" xfId="88"/>
    <cellStyle name="Normal 114" xfId="89"/>
    <cellStyle name="Normal 115" xfId="90"/>
    <cellStyle name="Normal 116" xfId="91"/>
    <cellStyle name="Normal 117" xfId="92"/>
    <cellStyle name="Normal 118" xfId="93"/>
    <cellStyle name="Normal 119" xfId="94"/>
    <cellStyle name="Normal 12" xfId="16"/>
    <cellStyle name="Normal 120" xfId="95"/>
    <cellStyle name="Normal 121" xfId="96"/>
    <cellStyle name="Normal 122" xfId="97"/>
    <cellStyle name="Normal 123" xfId="98"/>
    <cellStyle name="Normal 124" xfId="99"/>
    <cellStyle name="Normal 125" xfId="100"/>
    <cellStyle name="Normal 126" xfId="101"/>
    <cellStyle name="Normal 127" xfId="102"/>
    <cellStyle name="Normal 128" xfId="103"/>
    <cellStyle name="Normal 129" xfId="104"/>
    <cellStyle name="Normal 13" xfId="17"/>
    <cellStyle name="Normal 130" xfId="105"/>
    <cellStyle name="Normal 131" xfId="106"/>
    <cellStyle name="Normal 132" xfId="107"/>
    <cellStyle name="Normal 133" xfId="108"/>
    <cellStyle name="Normal 135" xfId="109"/>
    <cellStyle name="Normal 136" xfId="110"/>
    <cellStyle name="Normal 137" xfId="111"/>
    <cellStyle name="Normal 138" xfId="112"/>
    <cellStyle name="Normal 14" xfId="18"/>
    <cellStyle name="Normal 140" xfId="113"/>
    <cellStyle name="Normal 141" xfId="13"/>
    <cellStyle name="Normal 141 2" xfId="186"/>
    <cellStyle name="Normal 142" xfId="114"/>
    <cellStyle name="Normal 142 2" xfId="189"/>
    <cellStyle name="Normal 143" xfId="115"/>
    <cellStyle name="Normal 144" xfId="116"/>
    <cellStyle name="Normal 145" xfId="117"/>
    <cellStyle name="Normal 146" xfId="118"/>
    <cellStyle name="Normal 147" xfId="119"/>
    <cellStyle name="Normal 148" xfId="120"/>
    <cellStyle name="Normal 149" xfId="121"/>
    <cellStyle name="Normal 15" xfId="19"/>
    <cellStyle name="Normal 150" xfId="122"/>
    <cellStyle name="Normal 151" xfId="123"/>
    <cellStyle name="Normal 152" xfId="124"/>
    <cellStyle name="Normal 153" xfId="125"/>
    <cellStyle name="Normal 154" xfId="126"/>
    <cellStyle name="Normal 16" xfId="20"/>
    <cellStyle name="Normal 161" xfId="127"/>
    <cellStyle name="Normal 162" xfId="128"/>
    <cellStyle name="Normal 163" xfId="129"/>
    <cellStyle name="Normal 164" xfId="130"/>
    <cellStyle name="Normal 165" xfId="131"/>
    <cellStyle name="Normal 166" xfId="132"/>
    <cellStyle name="Normal 167" xfId="133"/>
    <cellStyle name="Normal 168" xfId="134"/>
    <cellStyle name="Normal 169" xfId="135"/>
    <cellStyle name="Normal 17" xfId="21"/>
    <cellStyle name="Normal 170" xfId="136"/>
    <cellStyle name="Normal 171" xfId="137"/>
    <cellStyle name="Normal 172" xfId="138"/>
    <cellStyle name="Normal 173" xfId="139"/>
    <cellStyle name="Normal 177" xfId="140"/>
    <cellStyle name="Normal 179" xfId="141"/>
    <cellStyle name="Normal 18" xfId="22"/>
    <cellStyle name="Normal 19" xfId="23"/>
    <cellStyle name="Normal 192" xfId="142"/>
    <cellStyle name="Normal 195" xfId="143"/>
    <cellStyle name="Normal 196" xfId="144"/>
    <cellStyle name="Normal 197" xfId="145"/>
    <cellStyle name="Normal 198" xfId="146"/>
    <cellStyle name="Normal 199" xfId="147"/>
    <cellStyle name="Normal 2" xfId="29"/>
    <cellStyle name="Normal 2 2" xfId="5"/>
    <cellStyle name="Normal 2 2 10" xfId="12"/>
    <cellStyle name="Normal 2 3" xfId="148"/>
    <cellStyle name="Normal 20" xfId="24"/>
    <cellStyle name="Normal 200" xfId="149"/>
    <cellStyle name="Normal 201" xfId="150"/>
    <cellStyle name="Normal 202" xfId="151"/>
    <cellStyle name="Normal 203" xfId="152"/>
    <cellStyle name="Normal 204" xfId="153"/>
    <cellStyle name="Normal 205" xfId="154"/>
    <cellStyle name="Normal 206" xfId="155"/>
    <cellStyle name="Normal 207" xfId="156"/>
    <cellStyle name="Normal 208" xfId="157"/>
    <cellStyle name="Normal 209" xfId="158"/>
    <cellStyle name="Normal 21" xfId="25"/>
    <cellStyle name="Normal 210" xfId="159"/>
    <cellStyle name="Normal 211" xfId="160"/>
    <cellStyle name="Normal 212" xfId="161"/>
    <cellStyle name="Normal 213" xfId="162"/>
    <cellStyle name="Normal 214" xfId="163"/>
    <cellStyle name="Normal 215" xfId="164"/>
    <cellStyle name="Normal 216" xfId="165"/>
    <cellStyle name="Normal 22" xfId="26"/>
    <cellStyle name="Normal 23" xfId="27"/>
    <cellStyle name="Normal 24" xfId="166"/>
    <cellStyle name="Normal 28 3" xfId="167"/>
    <cellStyle name="Normal 28 3 2" xfId="168"/>
    <cellStyle name="Normal 3" xfId="9"/>
    <cellStyle name="Normal 30 3" xfId="169"/>
    <cellStyle name="Normal 30 3 2" xfId="170"/>
    <cellStyle name="Normal 4" xfId="30"/>
    <cellStyle name="Normal 4 2" xfId="188"/>
    <cellStyle name="Normal 5" xfId="171"/>
    <cellStyle name="Normal 5 2" xfId="172"/>
    <cellStyle name="Normal 55" xfId="36"/>
    <cellStyle name="Normal 56" xfId="37"/>
    <cellStyle name="Normal 57" xfId="38"/>
    <cellStyle name="Normal 58" xfId="39"/>
    <cellStyle name="Normal 59" xfId="40"/>
    <cellStyle name="Normal 6 2" xfId="173"/>
    <cellStyle name="Normal 7" xfId="174"/>
    <cellStyle name="Normal 82" xfId="175"/>
    <cellStyle name="Normal 83" xfId="176"/>
    <cellStyle name="Normal 84" xfId="177"/>
    <cellStyle name="Normal 9 2" xfId="178"/>
    <cellStyle name="Normal 94" xfId="179"/>
    <cellStyle name="Normal 95" xfId="180"/>
    <cellStyle name="Normal 96" xfId="181"/>
    <cellStyle name="Normal 97" xfId="182"/>
    <cellStyle name="Normal 98" xfId="183"/>
    <cellStyle name="Normal 99" xfId="184"/>
    <cellStyle name="Percent" xfId="3" builtinId="5"/>
    <cellStyle name="Percent 2" xfId="1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694765</xdr:colOff>
      <xdr:row>52</xdr:row>
      <xdr:rowOff>1</xdr:rowOff>
    </xdr:from>
    <xdr:to>
      <xdr:col>11</xdr:col>
      <xdr:colOff>285084</xdr:colOff>
      <xdr:row>59</xdr:row>
      <xdr:rowOff>176894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00350" y="12201526"/>
          <a:ext cx="3552159" cy="1643743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204107</xdr:colOff>
      <xdr:row>71</xdr:row>
      <xdr:rowOff>1</xdr:rowOff>
    </xdr:from>
    <xdr:to>
      <xdr:col>14</xdr:col>
      <xdr:colOff>38555</xdr:colOff>
      <xdr:row>78</xdr:row>
      <xdr:rowOff>176894</xdr:rowOff>
    </xdr:to>
    <xdr:sp macro="" textlink="">
      <xdr:nvSpPr>
        <xdr:cNvPr id="2" name="Rectangle 1"/>
        <xdr:cNvSpPr/>
      </xdr:nvSpPr>
      <xdr:spPr>
        <a:xfrm>
          <a:off x="6585857" y="25091572"/>
          <a:ext cx="5209269" cy="2149929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5731</xdr:row>
      <xdr:rowOff>175075</xdr:rowOff>
    </xdr:from>
    <xdr:to>
      <xdr:col>8</xdr:col>
      <xdr:colOff>0</xdr:colOff>
      <xdr:row>5743</xdr:row>
      <xdr:rowOff>176892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57950" y="19206025"/>
          <a:ext cx="4857750" cy="2354492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387003</xdr:colOff>
      <xdr:row>714</xdr:row>
      <xdr:rowOff>186282</xdr:rowOff>
    </xdr:from>
    <xdr:to>
      <xdr:col>15</xdr:col>
      <xdr:colOff>271610</xdr:colOff>
      <xdr:row>726</xdr:row>
      <xdr:rowOff>183561</xdr:rowOff>
    </xdr:to>
    <xdr:sp macro="" textlink="">
      <xdr:nvSpPr>
        <xdr:cNvPr id="2" name="Rectangle 1"/>
        <xdr:cNvSpPr/>
      </xdr:nvSpPr>
      <xdr:spPr>
        <a:xfrm>
          <a:off x="9968032" y="206161606"/>
          <a:ext cx="3369637" cy="2462573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1402</xdr:row>
      <xdr:rowOff>54429</xdr:rowOff>
    </xdr:from>
    <xdr:to>
      <xdr:col>6</xdr:col>
      <xdr:colOff>283482</xdr:colOff>
      <xdr:row>1412</xdr:row>
      <xdr:rowOff>95251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934075" y="361623429"/>
          <a:ext cx="3693432" cy="1660072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5209760</xdr:colOff>
      <xdr:row>1171</xdr:row>
      <xdr:rowOff>140805</xdr:rowOff>
    </xdr:from>
    <xdr:to>
      <xdr:col>7</xdr:col>
      <xdr:colOff>709016</xdr:colOff>
      <xdr:row>1177</xdr:row>
      <xdr:rowOff>91108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980043" y="270667370"/>
          <a:ext cx="3740451" cy="1590260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194</xdr:row>
      <xdr:rowOff>261914</xdr:rowOff>
    </xdr:from>
    <xdr:to>
      <xdr:col>8</xdr:col>
      <xdr:colOff>36125</xdr:colOff>
      <xdr:row>198</xdr:row>
      <xdr:rowOff>314739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391978" y="57817762"/>
          <a:ext cx="4757212" cy="1874999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168088</xdr:colOff>
      <xdr:row>152</xdr:row>
      <xdr:rowOff>458819</xdr:rowOff>
    </xdr:from>
    <xdr:to>
      <xdr:col>14</xdr:col>
      <xdr:colOff>587215</xdr:colOff>
      <xdr:row>158</xdr:row>
      <xdr:rowOff>56030</xdr:rowOff>
    </xdr:to>
    <xdr:sp macro="" textlink="">
      <xdr:nvSpPr>
        <xdr:cNvPr id="2" name="Rectangle 1"/>
        <xdr:cNvSpPr/>
      </xdr:nvSpPr>
      <xdr:spPr>
        <a:xfrm>
          <a:off x="8650941" y="58258760"/>
          <a:ext cx="3736068" cy="2353858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KEPALA BADAN PENGELOLAAN KEUANGAN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DAN ASSET DAERAH PROVINSI PAPUA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d-ID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cs typeface="Arial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DR.M. RIDWAN RUMASUKUN,SE.MM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PEMBINA UTAMA MADYA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cs typeface="Arial" pitchFamily="34" charset="0"/>
            </a:rPr>
            <a:t>NIP.19641014  198603 1 016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cuments\PAGU%20DAN%20SUMBER%20DANA\SUMBER%20DANA%202018%20(OTSU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andolph%20ziki%20patay\Downloads\Copy%20of%20LAP%20REALISASIOTSUS%20PERBAIAKITHP%20II%2020181708%20OK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91">
          <cell r="C91">
            <v>1397931000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2"/>
      <sheetName val="A.4"/>
      <sheetName val="A.6"/>
      <sheetName val="A.8"/>
      <sheetName val="A.10"/>
      <sheetName val="Sheet1"/>
    </sheetNames>
    <sheetDataSet>
      <sheetData sheetId="0" refreshError="1"/>
      <sheetData sheetId="1" refreshError="1">
        <row r="5865">
          <cell r="L5865">
            <v>536670530000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1"/>
  <sheetViews>
    <sheetView view="pageBreakPreview" zoomScale="85" zoomScaleNormal="70" zoomScaleSheetLayoutView="85" workbookViewId="0">
      <selection activeCell="B43" sqref="B43"/>
    </sheetView>
  </sheetViews>
  <sheetFormatPr defaultColWidth="8.85546875" defaultRowHeight="16.5" customHeight="1" x14ac:dyDescent="0.25"/>
  <cols>
    <col min="1" max="1" width="6.28515625" style="19" customWidth="1"/>
    <col min="2" max="2" width="35.7109375" style="1" customWidth="1"/>
    <col min="3" max="3" width="19.42578125" style="74" hidden="1" customWidth="1"/>
    <col min="4" max="4" width="24.7109375" style="74" hidden="1" customWidth="1"/>
    <col min="5" max="5" width="8" style="74" hidden="1" customWidth="1"/>
    <col min="6" max="6" width="17.85546875" style="74" hidden="1" customWidth="1"/>
    <col min="7" max="7" width="17.28515625" style="74" hidden="1" customWidth="1"/>
    <col min="8" max="8" width="8.7109375" style="74" hidden="1" customWidth="1"/>
    <col min="9" max="9" width="19.7109375" style="75" customWidth="1"/>
    <col min="10" max="10" width="20.7109375" style="74" customWidth="1"/>
    <col min="11" max="11" width="12.7109375" style="772" customWidth="1"/>
    <col min="12" max="12" width="14.42578125" style="1" customWidth="1"/>
    <col min="13" max="13" width="2.42578125" style="1" customWidth="1"/>
    <col min="14" max="16384" width="8.85546875" style="1"/>
  </cols>
  <sheetData>
    <row r="1" spans="1:12" ht="16.5" customHeight="1" x14ac:dyDescent="0.25">
      <c r="A1" s="1275" t="s">
        <v>0</v>
      </c>
      <c r="B1" s="1276"/>
      <c r="C1" s="1276"/>
      <c r="D1" s="1276"/>
      <c r="E1" s="1276"/>
      <c r="F1" s="1276"/>
      <c r="G1" s="1276"/>
      <c r="H1" s="1276"/>
      <c r="I1" s="1276"/>
      <c r="J1" s="1276"/>
      <c r="K1" s="1276"/>
      <c r="L1" s="1277"/>
    </row>
    <row r="2" spans="1:12" ht="16.5" customHeight="1" x14ac:dyDescent="0.25">
      <c r="A2" s="1278" t="s">
        <v>1</v>
      </c>
      <c r="B2" s="1279"/>
      <c r="C2" s="1279"/>
      <c r="D2" s="1279"/>
      <c r="E2" s="1279"/>
      <c r="F2" s="1279"/>
      <c r="G2" s="1279"/>
      <c r="H2" s="1279"/>
      <c r="I2" s="1279"/>
      <c r="J2" s="1279"/>
      <c r="K2" s="1279"/>
      <c r="L2" s="1280"/>
    </row>
    <row r="3" spans="1:12" ht="16.5" customHeight="1" x14ac:dyDescent="0.25">
      <c r="A3" s="1278" t="s">
        <v>2</v>
      </c>
      <c r="B3" s="1279"/>
      <c r="C3" s="1279"/>
      <c r="D3" s="1279"/>
      <c r="E3" s="1279"/>
      <c r="F3" s="1279"/>
      <c r="G3" s="1279"/>
      <c r="H3" s="1279"/>
      <c r="I3" s="1279"/>
      <c r="J3" s="1279"/>
      <c r="K3" s="1279"/>
      <c r="L3" s="1280"/>
    </row>
    <row r="4" spans="1:12" ht="16.5" customHeight="1" x14ac:dyDescent="0.25">
      <c r="A4" s="1281"/>
      <c r="B4" s="1282"/>
      <c r="C4" s="1282"/>
      <c r="D4" s="1282"/>
      <c r="E4" s="1282"/>
      <c r="F4" s="1282"/>
      <c r="G4" s="1282"/>
      <c r="H4" s="1282"/>
      <c r="I4" s="1282"/>
      <c r="J4" s="1282"/>
      <c r="K4" s="1282"/>
      <c r="L4" s="1283"/>
    </row>
    <row r="5" spans="1:12" ht="16.5" customHeight="1" x14ac:dyDescent="0.25">
      <c r="A5" s="1284" t="s">
        <v>3</v>
      </c>
      <c r="B5" s="1285"/>
      <c r="C5" s="1285"/>
      <c r="D5" s="1285"/>
      <c r="E5" s="1285"/>
      <c r="F5" s="1285"/>
      <c r="G5" s="1285"/>
      <c r="H5" s="1285"/>
      <c r="I5" s="1285"/>
      <c r="J5" s="1285"/>
      <c r="K5" s="1285"/>
      <c r="L5" s="1286"/>
    </row>
    <row r="6" spans="1:12" s="4" customFormat="1" ht="16.5" customHeight="1" x14ac:dyDescent="0.25">
      <c r="A6" s="2" t="s">
        <v>4</v>
      </c>
      <c r="B6" s="3"/>
      <c r="C6" s="3"/>
      <c r="D6" s="3"/>
      <c r="E6" s="3"/>
      <c r="F6" s="3"/>
      <c r="G6" s="3"/>
      <c r="H6" s="3"/>
      <c r="I6" s="3"/>
      <c r="J6" s="3"/>
      <c r="K6" s="1271" t="s">
        <v>5</v>
      </c>
      <c r="L6" s="1272"/>
    </row>
    <row r="7" spans="1:12" ht="16.5" customHeight="1" x14ac:dyDescent="0.25">
      <c r="A7" s="5"/>
      <c r="B7" s="6"/>
      <c r="C7" s="6"/>
      <c r="D7" s="6"/>
      <c r="E7" s="6"/>
      <c r="F7" s="6"/>
      <c r="G7" s="6"/>
      <c r="H7" s="6"/>
      <c r="I7" s="7"/>
      <c r="J7" s="6"/>
      <c r="K7" s="1273"/>
      <c r="L7" s="1274"/>
    </row>
    <row r="8" spans="1:12" ht="16.5" customHeight="1" x14ac:dyDescent="0.25">
      <c r="A8" s="8"/>
      <c r="B8" s="860"/>
      <c r="C8" s="9"/>
      <c r="D8" s="9"/>
      <c r="E8" s="9"/>
      <c r="F8" s="9"/>
      <c r="G8" s="9"/>
      <c r="H8" s="9"/>
      <c r="I8" s="10"/>
      <c r="J8" s="9"/>
      <c r="K8" s="767"/>
      <c r="L8" s="11"/>
    </row>
    <row r="9" spans="1:12" ht="34.5" customHeight="1" thickBot="1" x14ac:dyDescent="0.3">
      <c r="A9" s="1253" t="s">
        <v>6</v>
      </c>
      <c r="B9" s="1256" t="s">
        <v>7</v>
      </c>
      <c r="C9" s="1259" t="s">
        <v>8</v>
      </c>
      <c r="D9" s="1260"/>
      <c r="E9" s="1260"/>
      <c r="F9" s="1259" t="s">
        <v>9</v>
      </c>
      <c r="G9" s="1260"/>
      <c r="H9" s="1261"/>
      <c r="I9" s="1260" t="s">
        <v>8</v>
      </c>
      <c r="J9" s="1260"/>
      <c r="K9" s="1261"/>
      <c r="L9" s="1262" t="s">
        <v>11</v>
      </c>
    </row>
    <row r="10" spans="1:12" s="12" customFormat="1" ht="16.5" customHeight="1" thickBot="1" x14ac:dyDescent="0.3">
      <c r="A10" s="1254"/>
      <c r="B10" s="1257"/>
      <c r="C10" s="1265" t="s">
        <v>12</v>
      </c>
      <c r="D10" s="861"/>
      <c r="E10" s="1266" t="s">
        <v>13</v>
      </c>
      <c r="F10" s="1265" t="s">
        <v>14</v>
      </c>
      <c r="G10" s="1268" t="s">
        <v>15</v>
      </c>
      <c r="H10" s="1265" t="s">
        <v>16</v>
      </c>
      <c r="I10" s="1269" t="s">
        <v>17</v>
      </c>
      <c r="J10" s="1265" t="s">
        <v>15</v>
      </c>
      <c r="K10" s="1270" t="s">
        <v>16</v>
      </c>
      <c r="L10" s="1263"/>
    </row>
    <row r="11" spans="1:12" s="12" customFormat="1" ht="51" customHeight="1" x14ac:dyDescent="0.25">
      <c r="A11" s="1255"/>
      <c r="B11" s="1258"/>
      <c r="C11" s="1265"/>
      <c r="D11" s="862"/>
      <c r="E11" s="1267"/>
      <c r="F11" s="1265"/>
      <c r="G11" s="1268"/>
      <c r="H11" s="1265"/>
      <c r="I11" s="1269"/>
      <c r="J11" s="1265"/>
      <c r="K11" s="1270"/>
      <c r="L11" s="1264"/>
    </row>
    <row r="12" spans="1:12" s="19" customFormat="1" ht="16.5" customHeight="1" x14ac:dyDescent="0.25">
      <c r="A12" s="13" t="s">
        <v>18</v>
      </c>
      <c r="B12" s="14" t="s">
        <v>19</v>
      </c>
      <c r="C12" s="15" t="s">
        <v>20</v>
      </c>
      <c r="D12" s="16"/>
      <c r="E12" s="16" t="s">
        <v>21</v>
      </c>
      <c r="F12" s="15" t="s">
        <v>22</v>
      </c>
      <c r="G12" s="16" t="s">
        <v>23</v>
      </c>
      <c r="H12" s="15" t="s">
        <v>24</v>
      </c>
      <c r="I12" s="17" t="s">
        <v>25</v>
      </c>
      <c r="J12" s="15" t="s">
        <v>26</v>
      </c>
      <c r="K12" s="768" t="s">
        <v>27</v>
      </c>
      <c r="L12" s="18" t="s">
        <v>28</v>
      </c>
    </row>
    <row r="13" spans="1:12" ht="16.5" customHeight="1" x14ac:dyDescent="0.25">
      <c r="A13" s="20" t="s">
        <v>29</v>
      </c>
      <c r="B13" s="21" t="s">
        <v>30</v>
      </c>
      <c r="C13" s="22">
        <v>772294717000</v>
      </c>
      <c r="D13" s="23">
        <v>5580152407000</v>
      </c>
      <c r="E13" s="24">
        <f>C13/D13*100</f>
        <v>13.840029100839574</v>
      </c>
      <c r="F13" s="22">
        <v>772294717000</v>
      </c>
      <c r="G13" s="25">
        <f>30/100*F13</f>
        <v>231688415100</v>
      </c>
      <c r="H13" s="26">
        <f>+G13/F13*100</f>
        <v>30</v>
      </c>
      <c r="I13" s="27">
        <v>772294717000</v>
      </c>
      <c r="J13" s="26">
        <f>I13</f>
        <v>772294717000</v>
      </c>
      <c r="K13" s="53">
        <f>J13/I13*100</f>
        <v>100</v>
      </c>
      <c r="L13" s="28"/>
    </row>
    <row r="14" spans="1:12" ht="16.5" customHeight="1" x14ac:dyDescent="0.25">
      <c r="A14" s="20" t="s">
        <v>31</v>
      </c>
      <c r="B14" s="21" t="s">
        <v>32</v>
      </c>
      <c r="C14" s="22">
        <f>SUM(C15:C43)</f>
        <v>3089178868000</v>
      </c>
      <c r="D14" s="23">
        <v>5580152407000</v>
      </c>
      <c r="E14" s="24">
        <f t="shared" ref="E14:E48" si="0">C14/D14*100</f>
        <v>55.360116403358298</v>
      </c>
      <c r="F14" s="22">
        <f>SUM(F15:F43)</f>
        <v>3089178868000</v>
      </c>
      <c r="G14" s="25">
        <f t="shared" ref="G14:G43" si="1">30/100*F14</f>
        <v>926753660400</v>
      </c>
      <c r="H14" s="26">
        <f>+G14/F14*100</f>
        <v>30</v>
      </c>
      <c r="I14" s="27">
        <v>3089178868000</v>
      </c>
      <c r="J14" s="26">
        <f t="shared" ref="J14:J50" si="2">I14</f>
        <v>3089178868000</v>
      </c>
      <c r="K14" s="53">
        <f t="shared" ref="K14:K50" si="3">J14/I14*100</f>
        <v>100</v>
      </c>
      <c r="L14" s="28"/>
    </row>
    <row r="15" spans="1:12" ht="16.5" customHeight="1" x14ac:dyDescent="0.25">
      <c r="A15" s="20"/>
      <c r="B15" s="29" t="s">
        <v>33</v>
      </c>
      <c r="C15" s="30">
        <v>102513472000</v>
      </c>
      <c r="D15" s="23">
        <v>5580152407000</v>
      </c>
      <c r="E15" s="24">
        <f t="shared" si="0"/>
        <v>1.8371088193111427</v>
      </c>
      <c r="F15" s="30">
        <v>102513472000</v>
      </c>
      <c r="G15" s="25">
        <f t="shared" si="1"/>
        <v>30754041600</v>
      </c>
      <c r="H15" s="26">
        <f t="shared" ref="H15:H43" si="4">+G15/F15*100</f>
        <v>30</v>
      </c>
      <c r="I15" s="27">
        <v>102513472000</v>
      </c>
      <c r="J15" s="26">
        <f t="shared" si="2"/>
        <v>102513472000</v>
      </c>
      <c r="K15" s="53">
        <f t="shared" si="3"/>
        <v>100</v>
      </c>
      <c r="L15" s="28"/>
    </row>
    <row r="16" spans="1:12" ht="16.5" customHeight="1" x14ac:dyDescent="0.25">
      <c r="A16" s="20"/>
      <c r="B16" s="29" t="s">
        <v>34</v>
      </c>
      <c r="C16" s="30">
        <v>117040104000</v>
      </c>
      <c r="D16" s="23">
        <v>5580152407000</v>
      </c>
      <c r="E16" s="24">
        <f t="shared" si="0"/>
        <v>2.0974356157939256</v>
      </c>
      <c r="F16" s="30">
        <v>117040104000</v>
      </c>
      <c r="G16" s="25">
        <f t="shared" si="1"/>
        <v>35112031200</v>
      </c>
      <c r="H16" s="26">
        <f t="shared" si="4"/>
        <v>30</v>
      </c>
      <c r="I16" s="27">
        <v>117040104000</v>
      </c>
      <c r="J16" s="26">
        <f t="shared" si="2"/>
        <v>117040104000</v>
      </c>
      <c r="K16" s="53">
        <f t="shared" si="3"/>
        <v>100</v>
      </c>
      <c r="L16" s="28"/>
    </row>
    <row r="17" spans="1:12" ht="16.5" customHeight="1" x14ac:dyDescent="0.25">
      <c r="A17" s="20"/>
      <c r="B17" s="29" t="s">
        <v>35</v>
      </c>
      <c r="C17" s="30">
        <v>103583972000</v>
      </c>
      <c r="D17" s="23">
        <v>5580152407000</v>
      </c>
      <c r="E17" s="24">
        <f t="shared" si="0"/>
        <v>1.8562928831488454</v>
      </c>
      <c r="F17" s="30">
        <v>103583972000</v>
      </c>
      <c r="G17" s="25">
        <f t="shared" si="1"/>
        <v>31075191600</v>
      </c>
      <c r="H17" s="26">
        <f t="shared" si="4"/>
        <v>30</v>
      </c>
      <c r="I17" s="27">
        <v>103583972000</v>
      </c>
      <c r="J17" s="26">
        <f t="shared" si="2"/>
        <v>103583972000</v>
      </c>
      <c r="K17" s="53">
        <f t="shared" si="3"/>
        <v>100</v>
      </c>
      <c r="L17" s="28"/>
    </row>
    <row r="18" spans="1:12" ht="16.5" customHeight="1" x14ac:dyDescent="0.25">
      <c r="A18" s="20"/>
      <c r="B18" s="29" t="s">
        <v>36</v>
      </c>
      <c r="C18" s="30">
        <v>100989297000</v>
      </c>
      <c r="D18" s="23">
        <v>5580152407000</v>
      </c>
      <c r="E18" s="24">
        <f t="shared" si="0"/>
        <v>1.8097946011889279</v>
      </c>
      <c r="F18" s="30">
        <v>100989297000</v>
      </c>
      <c r="G18" s="25">
        <f t="shared" si="1"/>
        <v>30296789100</v>
      </c>
      <c r="H18" s="26">
        <f t="shared" si="4"/>
        <v>30</v>
      </c>
      <c r="I18" s="27">
        <v>100989297000</v>
      </c>
      <c r="J18" s="26">
        <f t="shared" si="2"/>
        <v>100989297000</v>
      </c>
      <c r="K18" s="53">
        <f t="shared" si="3"/>
        <v>100</v>
      </c>
      <c r="L18" s="28"/>
    </row>
    <row r="19" spans="1:12" ht="16.5" customHeight="1" x14ac:dyDescent="0.25">
      <c r="A19" s="20"/>
      <c r="B19" s="29" t="s">
        <v>37</v>
      </c>
      <c r="C19" s="30">
        <v>94656505000</v>
      </c>
      <c r="D19" s="23">
        <v>5580152407000</v>
      </c>
      <c r="E19" s="24">
        <f t="shared" si="0"/>
        <v>1.6963068048331174</v>
      </c>
      <c r="F19" s="30">
        <v>94656505000</v>
      </c>
      <c r="G19" s="25">
        <f t="shared" si="1"/>
        <v>28396951500</v>
      </c>
      <c r="H19" s="26">
        <f t="shared" si="4"/>
        <v>30</v>
      </c>
      <c r="I19" s="27">
        <v>94656505000</v>
      </c>
      <c r="J19" s="26">
        <f t="shared" si="2"/>
        <v>94656505000</v>
      </c>
      <c r="K19" s="53">
        <f t="shared" si="3"/>
        <v>100</v>
      </c>
      <c r="L19" s="28"/>
    </row>
    <row r="20" spans="1:12" ht="16.5" customHeight="1" x14ac:dyDescent="0.25">
      <c r="A20" s="20"/>
      <c r="B20" s="29" t="s">
        <v>38</v>
      </c>
      <c r="C20" s="30">
        <v>100104193000</v>
      </c>
      <c r="D20" s="23">
        <v>5580152407000</v>
      </c>
      <c r="E20" s="24">
        <f t="shared" si="0"/>
        <v>1.7939329555663155</v>
      </c>
      <c r="F20" s="30">
        <v>100104193000</v>
      </c>
      <c r="G20" s="25">
        <f t="shared" si="1"/>
        <v>30031257900</v>
      </c>
      <c r="H20" s="26">
        <f t="shared" si="4"/>
        <v>30</v>
      </c>
      <c r="I20" s="27">
        <v>100104193000</v>
      </c>
      <c r="J20" s="26">
        <f t="shared" si="2"/>
        <v>100104193000</v>
      </c>
      <c r="K20" s="53">
        <f t="shared" si="3"/>
        <v>100</v>
      </c>
      <c r="L20" s="28"/>
    </row>
    <row r="21" spans="1:12" ht="16.5" customHeight="1" x14ac:dyDescent="0.25">
      <c r="A21" s="20"/>
      <c r="B21" s="29" t="s">
        <v>39</v>
      </c>
      <c r="C21" s="30">
        <v>115559753000</v>
      </c>
      <c r="D21" s="23">
        <v>5580152407000</v>
      </c>
      <c r="E21" s="24">
        <f t="shared" si="0"/>
        <v>2.070906752565334</v>
      </c>
      <c r="F21" s="30">
        <v>115559753000</v>
      </c>
      <c r="G21" s="25">
        <f t="shared" si="1"/>
        <v>34667925900</v>
      </c>
      <c r="H21" s="26">
        <f t="shared" si="4"/>
        <v>30</v>
      </c>
      <c r="I21" s="27">
        <v>115559753000</v>
      </c>
      <c r="J21" s="26">
        <f t="shared" si="2"/>
        <v>115559753000</v>
      </c>
      <c r="K21" s="53">
        <f t="shared" si="3"/>
        <v>100</v>
      </c>
      <c r="L21" s="28"/>
    </row>
    <row r="22" spans="1:12" ht="16.5" customHeight="1" x14ac:dyDescent="0.25">
      <c r="A22" s="31"/>
      <c r="B22" s="32" t="s">
        <v>40</v>
      </c>
      <c r="C22" s="33">
        <v>128559753000</v>
      </c>
      <c r="D22" s="23">
        <v>5580152407000</v>
      </c>
      <c r="E22" s="24">
        <f t="shared" si="0"/>
        <v>2.303875299870461</v>
      </c>
      <c r="F22" s="33">
        <v>128559753000</v>
      </c>
      <c r="G22" s="25">
        <f t="shared" si="1"/>
        <v>38567925900</v>
      </c>
      <c r="H22" s="26">
        <f t="shared" si="4"/>
        <v>30</v>
      </c>
      <c r="I22" s="27">
        <v>128559753000</v>
      </c>
      <c r="J22" s="26">
        <f t="shared" si="2"/>
        <v>128559753000</v>
      </c>
      <c r="K22" s="53">
        <f t="shared" si="3"/>
        <v>100</v>
      </c>
      <c r="L22" s="28"/>
    </row>
    <row r="23" spans="1:12" ht="16.5" customHeight="1" x14ac:dyDescent="0.25">
      <c r="A23" s="20"/>
      <c r="B23" s="29" t="s">
        <v>41</v>
      </c>
      <c r="C23" s="30">
        <v>100956195000</v>
      </c>
      <c r="D23" s="23">
        <v>5580152407000</v>
      </c>
      <c r="E23" s="24">
        <f t="shared" si="0"/>
        <v>1.8092013915848588</v>
      </c>
      <c r="F23" s="30">
        <v>100956195000</v>
      </c>
      <c r="G23" s="25">
        <f t="shared" si="1"/>
        <v>30286858500</v>
      </c>
      <c r="H23" s="26">
        <f t="shared" si="4"/>
        <v>30</v>
      </c>
      <c r="I23" s="27">
        <v>100956195000</v>
      </c>
      <c r="J23" s="26">
        <f t="shared" si="2"/>
        <v>100956195000</v>
      </c>
      <c r="K23" s="53">
        <f t="shared" si="3"/>
        <v>100</v>
      </c>
      <c r="L23" s="28"/>
    </row>
    <row r="24" spans="1:12" ht="16.5" customHeight="1" x14ac:dyDescent="0.25">
      <c r="A24" s="20"/>
      <c r="B24" s="29" t="s">
        <v>42</v>
      </c>
      <c r="C24" s="30">
        <v>100456545000</v>
      </c>
      <c r="D24" s="23">
        <v>5580152407000</v>
      </c>
      <c r="E24" s="24">
        <f t="shared" si="0"/>
        <v>1.8002473350724739</v>
      </c>
      <c r="F24" s="30">
        <v>100456545000</v>
      </c>
      <c r="G24" s="25">
        <f t="shared" si="1"/>
        <v>30136963500</v>
      </c>
      <c r="H24" s="26">
        <f t="shared" si="4"/>
        <v>30</v>
      </c>
      <c r="I24" s="27">
        <v>100456545000</v>
      </c>
      <c r="J24" s="26">
        <f t="shared" si="2"/>
        <v>100456545000</v>
      </c>
      <c r="K24" s="53">
        <f t="shared" si="3"/>
        <v>100</v>
      </c>
      <c r="L24" s="28"/>
    </row>
    <row r="25" spans="1:12" ht="16.5" customHeight="1" x14ac:dyDescent="0.25">
      <c r="A25" s="20"/>
      <c r="B25" s="29" t="s">
        <v>43</v>
      </c>
      <c r="C25" s="30">
        <v>104091290000</v>
      </c>
      <c r="D25" s="23">
        <v>5580152407000</v>
      </c>
      <c r="E25" s="24">
        <f t="shared" si="0"/>
        <v>1.8653843552628255</v>
      </c>
      <c r="F25" s="30">
        <v>104091290000</v>
      </c>
      <c r="G25" s="25">
        <f t="shared" si="1"/>
        <v>31227387000</v>
      </c>
      <c r="H25" s="26">
        <f t="shared" si="4"/>
        <v>30</v>
      </c>
      <c r="I25" s="27">
        <v>104091290000</v>
      </c>
      <c r="J25" s="26">
        <f t="shared" si="2"/>
        <v>104091290000</v>
      </c>
      <c r="K25" s="53">
        <f t="shared" si="3"/>
        <v>100</v>
      </c>
      <c r="L25" s="28"/>
    </row>
    <row r="26" spans="1:12" ht="16.5" customHeight="1" x14ac:dyDescent="0.25">
      <c r="A26" s="20"/>
      <c r="B26" s="29" t="s">
        <v>44</v>
      </c>
      <c r="C26" s="30">
        <v>105686147000</v>
      </c>
      <c r="D26" s="23">
        <v>5580152407000</v>
      </c>
      <c r="E26" s="24">
        <f t="shared" si="0"/>
        <v>1.8939652412973957</v>
      </c>
      <c r="F26" s="30">
        <v>105686147000</v>
      </c>
      <c r="G26" s="25">
        <f t="shared" si="1"/>
        <v>31705844100</v>
      </c>
      <c r="H26" s="26">
        <f t="shared" si="4"/>
        <v>30</v>
      </c>
      <c r="I26" s="27">
        <v>105686147000</v>
      </c>
      <c r="J26" s="26">
        <f t="shared" si="2"/>
        <v>105686147000</v>
      </c>
      <c r="K26" s="53">
        <f t="shared" si="3"/>
        <v>100</v>
      </c>
      <c r="L26" s="28"/>
    </row>
    <row r="27" spans="1:12" ht="16.5" customHeight="1" x14ac:dyDescent="0.25">
      <c r="A27" s="20"/>
      <c r="B27" s="29" t="s">
        <v>45</v>
      </c>
      <c r="C27" s="30">
        <v>110694494000</v>
      </c>
      <c r="D27" s="23">
        <v>5580152407000</v>
      </c>
      <c r="E27" s="24">
        <f t="shared" si="0"/>
        <v>1.9837181124504726</v>
      </c>
      <c r="F27" s="30">
        <v>110694494000</v>
      </c>
      <c r="G27" s="25">
        <f t="shared" si="1"/>
        <v>33208348200</v>
      </c>
      <c r="H27" s="26">
        <f t="shared" si="4"/>
        <v>30</v>
      </c>
      <c r="I27" s="27">
        <v>110694494000</v>
      </c>
      <c r="J27" s="26">
        <f t="shared" si="2"/>
        <v>110694494000</v>
      </c>
      <c r="K27" s="53">
        <f t="shared" si="3"/>
        <v>100</v>
      </c>
      <c r="L27" s="28"/>
    </row>
    <row r="28" spans="1:12" ht="16.5" customHeight="1" x14ac:dyDescent="0.25">
      <c r="A28" s="20"/>
      <c r="B28" s="29" t="s">
        <v>46</v>
      </c>
      <c r="C28" s="30">
        <v>114477328000</v>
      </c>
      <c r="D28" s="23">
        <v>5580152407000</v>
      </c>
      <c r="E28" s="24">
        <f t="shared" si="0"/>
        <v>2.0515089848871222</v>
      </c>
      <c r="F28" s="30">
        <v>114477328000</v>
      </c>
      <c r="G28" s="25">
        <f t="shared" si="1"/>
        <v>34343198400</v>
      </c>
      <c r="H28" s="26">
        <f t="shared" si="4"/>
        <v>30</v>
      </c>
      <c r="I28" s="27">
        <v>114477328000</v>
      </c>
      <c r="J28" s="26">
        <f t="shared" si="2"/>
        <v>114477328000</v>
      </c>
      <c r="K28" s="53">
        <f t="shared" si="3"/>
        <v>100</v>
      </c>
      <c r="L28" s="28"/>
    </row>
    <row r="29" spans="1:12" ht="16.5" customHeight="1" x14ac:dyDescent="0.25">
      <c r="A29" s="20"/>
      <c r="B29" s="29" t="s">
        <v>47</v>
      </c>
      <c r="C29" s="30">
        <v>121144049000</v>
      </c>
      <c r="D29" s="23">
        <v>5580152407000</v>
      </c>
      <c r="E29" s="24">
        <f t="shared" si="0"/>
        <v>2.170981008476244</v>
      </c>
      <c r="F29" s="30">
        <v>121144049000</v>
      </c>
      <c r="G29" s="25">
        <f t="shared" si="1"/>
        <v>36343214700</v>
      </c>
      <c r="H29" s="26">
        <f t="shared" si="4"/>
        <v>30</v>
      </c>
      <c r="I29" s="27">
        <v>121144049000</v>
      </c>
      <c r="J29" s="26">
        <f t="shared" si="2"/>
        <v>121144049000</v>
      </c>
      <c r="K29" s="53">
        <f t="shared" si="3"/>
        <v>100</v>
      </c>
      <c r="L29" s="28"/>
    </row>
    <row r="30" spans="1:12" ht="16.5" customHeight="1" x14ac:dyDescent="0.25">
      <c r="A30" s="20"/>
      <c r="B30" s="29" t="s">
        <v>48</v>
      </c>
      <c r="C30" s="30">
        <v>98877880000</v>
      </c>
      <c r="D30" s="23">
        <v>5580152407000</v>
      </c>
      <c r="E30" s="24">
        <f t="shared" si="0"/>
        <v>1.7719566203239008</v>
      </c>
      <c r="F30" s="30">
        <v>98877880000</v>
      </c>
      <c r="G30" s="25">
        <f t="shared" si="1"/>
        <v>29663364000</v>
      </c>
      <c r="H30" s="26">
        <f t="shared" si="4"/>
        <v>30</v>
      </c>
      <c r="I30" s="27">
        <v>98877880000</v>
      </c>
      <c r="J30" s="26">
        <f t="shared" si="2"/>
        <v>98877880000</v>
      </c>
      <c r="K30" s="53">
        <f t="shared" si="3"/>
        <v>100</v>
      </c>
      <c r="L30" s="28"/>
    </row>
    <row r="31" spans="1:12" ht="16.5" customHeight="1" x14ac:dyDescent="0.25">
      <c r="A31" s="20"/>
      <c r="B31" s="29" t="s">
        <v>49</v>
      </c>
      <c r="C31" s="30">
        <v>94899955000</v>
      </c>
      <c r="D31" s="23">
        <v>5580152407000</v>
      </c>
      <c r="E31" s="24">
        <f t="shared" si="0"/>
        <v>1.7006695888978431</v>
      </c>
      <c r="F31" s="30">
        <v>94899955000</v>
      </c>
      <c r="G31" s="25">
        <f t="shared" si="1"/>
        <v>28469986500</v>
      </c>
      <c r="H31" s="26">
        <f t="shared" si="4"/>
        <v>30</v>
      </c>
      <c r="I31" s="27">
        <v>94899955000</v>
      </c>
      <c r="J31" s="26">
        <f t="shared" si="2"/>
        <v>94899955000</v>
      </c>
      <c r="K31" s="53">
        <f t="shared" si="3"/>
        <v>100</v>
      </c>
      <c r="L31" s="28"/>
    </row>
    <row r="32" spans="1:12" ht="16.5" customHeight="1" x14ac:dyDescent="0.25">
      <c r="A32" s="20"/>
      <c r="B32" s="29" t="s">
        <v>50</v>
      </c>
      <c r="C32" s="30">
        <v>100808611000</v>
      </c>
      <c r="D32" s="23">
        <v>5580152407000</v>
      </c>
      <c r="E32" s="24">
        <f t="shared" si="0"/>
        <v>1.806556589270591</v>
      </c>
      <c r="F32" s="30">
        <v>100808611000</v>
      </c>
      <c r="G32" s="25">
        <f t="shared" si="1"/>
        <v>30242583300</v>
      </c>
      <c r="H32" s="26">
        <f t="shared" si="4"/>
        <v>30</v>
      </c>
      <c r="I32" s="27">
        <v>100808611000</v>
      </c>
      <c r="J32" s="26">
        <f t="shared" si="2"/>
        <v>100808611000</v>
      </c>
      <c r="K32" s="53">
        <f t="shared" si="3"/>
        <v>100</v>
      </c>
      <c r="L32" s="28"/>
    </row>
    <row r="33" spans="1:12" ht="16.5" customHeight="1" x14ac:dyDescent="0.25">
      <c r="A33" s="34"/>
      <c r="B33" s="35" t="s">
        <v>51</v>
      </c>
      <c r="C33" s="36">
        <v>86513444000</v>
      </c>
      <c r="D33" s="37">
        <v>5580152407000</v>
      </c>
      <c r="E33" s="38">
        <f t="shared" si="0"/>
        <v>1.5503777977725761</v>
      </c>
      <c r="F33" s="36">
        <v>86513444000</v>
      </c>
      <c r="G33" s="25">
        <f t="shared" si="1"/>
        <v>25954033200</v>
      </c>
      <c r="H33" s="26">
        <f t="shared" si="4"/>
        <v>30</v>
      </c>
      <c r="I33" s="39">
        <v>86513444000</v>
      </c>
      <c r="J33" s="26">
        <f t="shared" si="2"/>
        <v>86513444000</v>
      </c>
      <c r="K33" s="53">
        <f t="shared" si="3"/>
        <v>100</v>
      </c>
      <c r="L33" s="40"/>
    </row>
    <row r="34" spans="1:12" ht="16.5" customHeight="1" x14ac:dyDescent="0.25">
      <c r="A34" s="20"/>
      <c r="B34" s="29" t="s">
        <v>52</v>
      </c>
      <c r="C34" s="30">
        <v>100603895000</v>
      </c>
      <c r="D34" s="23">
        <v>5580152407000</v>
      </c>
      <c r="E34" s="24">
        <f t="shared" si="0"/>
        <v>1.80288794395289</v>
      </c>
      <c r="F34" s="30">
        <v>100603895000</v>
      </c>
      <c r="G34" s="25">
        <f t="shared" si="1"/>
        <v>30181168500</v>
      </c>
      <c r="H34" s="26">
        <f t="shared" si="4"/>
        <v>30</v>
      </c>
      <c r="I34" s="27">
        <v>100603895000</v>
      </c>
      <c r="J34" s="26">
        <f t="shared" si="2"/>
        <v>100603895000</v>
      </c>
      <c r="K34" s="53">
        <f t="shared" si="3"/>
        <v>100</v>
      </c>
      <c r="L34" s="28"/>
    </row>
    <row r="35" spans="1:12" ht="16.5" customHeight="1" x14ac:dyDescent="0.25">
      <c r="A35" s="41"/>
      <c r="B35" s="42" t="s">
        <v>53</v>
      </c>
      <c r="C35" s="43">
        <v>106591129000</v>
      </c>
      <c r="D35" s="44">
        <v>5580152407000</v>
      </c>
      <c r="E35" s="45">
        <f t="shared" si="0"/>
        <v>1.9101831137494953</v>
      </c>
      <c r="F35" s="43">
        <v>106591129000</v>
      </c>
      <c r="G35" s="25">
        <f t="shared" si="1"/>
        <v>31977338700</v>
      </c>
      <c r="H35" s="26">
        <f t="shared" si="4"/>
        <v>30</v>
      </c>
      <c r="I35" s="46">
        <v>106591129000</v>
      </c>
      <c r="J35" s="26">
        <f t="shared" si="2"/>
        <v>106591129000</v>
      </c>
      <c r="K35" s="53">
        <f t="shared" si="3"/>
        <v>100</v>
      </c>
      <c r="L35" s="47"/>
    </row>
    <row r="36" spans="1:12" ht="16.5" customHeight="1" x14ac:dyDescent="0.25">
      <c r="A36" s="20"/>
      <c r="B36" s="29" t="s">
        <v>54</v>
      </c>
      <c r="C36" s="30">
        <v>126725154000</v>
      </c>
      <c r="D36" s="23">
        <v>5580152407000</v>
      </c>
      <c r="E36" s="24">
        <f t="shared" si="0"/>
        <v>2.2709980795691194</v>
      </c>
      <c r="F36" s="30">
        <v>126725154000</v>
      </c>
      <c r="G36" s="25">
        <f t="shared" si="1"/>
        <v>38017546200</v>
      </c>
      <c r="H36" s="26">
        <f t="shared" si="4"/>
        <v>30</v>
      </c>
      <c r="I36" s="27">
        <v>126725154000</v>
      </c>
      <c r="J36" s="26">
        <f t="shared" si="2"/>
        <v>126725154000</v>
      </c>
      <c r="K36" s="53">
        <f t="shared" si="3"/>
        <v>100</v>
      </c>
      <c r="L36" s="28"/>
    </row>
    <row r="37" spans="1:12" ht="16.5" customHeight="1" x14ac:dyDescent="0.25">
      <c r="A37" s="20"/>
      <c r="B37" s="29" t="s">
        <v>55</v>
      </c>
      <c r="C37" s="30">
        <v>107773285000</v>
      </c>
      <c r="D37" s="23">
        <v>5580152407000</v>
      </c>
      <c r="E37" s="24">
        <f t="shared" si="0"/>
        <v>1.9313681265193443</v>
      </c>
      <c r="F37" s="30">
        <v>107773285000</v>
      </c>
      <c r="G37" s="25">
        <f t="shared" si="1"/>
        <v>32331985500</v>
      </c>
      <c r="H37" s="26">
        <f t="shared" si="4"/>
        <v>30</v>
      </c>
      <c r="I37" s="27">
        <v>107773285000</v>
      </c>
      <c r="J37" s="26">
        <f t="shared" si="2"/>
        <v>107773285000</v>
      </c>
      <c r="K37" s="53">
        <f t="shared" si="3"/>
        <v>100</v>
      </c>
      <c r="L37" s="28"/>
    </row>
    <row r="38" spans="1:12" ht="16.5" customHeight="1" x14ac:dyDescent="0.25">
      <c r="A38" s="31"/>
      <c r="B38" s="32" t="s">
        <v>56</v>
      </c>
      <c r="C38" s="33">
        <v>106342752000</v>
      </c>
      <c r="D38" s="23">
        <v>5580152407000</v>
      </c>
      <c r="E38" s="24">
        <f t="shared" si="0"/>
        <v>1.9057320346053408</v>
      </c>
      <c r="F38" s="33">
        <v>106342752000</v>
      </c>
      <c r="G38" s="25">
        <f t="shared" si="1"/>
        <v>31902825600</v>
      </c>
      <c r="H38" s="26">
        <f t="shared" si="4"/>
        <v>30</v>
      </c>
      <c r="I38" s="27">
        <v>106342752000</v>
      </c>
      <c r="J38" s="26">
        <f t="shared" si="2"/>
        <v>106342752000</v>
      </c>
      <c r="K38" s="53">
        <f t="shared" si="3"/>
        <v>100</v>
      </c>
      <c r="L38" s="28"/>
    </row>
    <row r="39" spans="1:12" ht="16.5" customHeight="1" x14ac:dyDescent="0.25">
      <c r="A39" s="20"/>
      <c r="B39" s="29" t="s">
        <v>57</v>
      </c>
      <c r="C39" s="30">
        <v>120107732000</v>
      </c>
      <c r="D39" s="23">
        <v>5580152407000</v>
      </c>
      <c r="E39" s="24">
        <f t="shared" si="0"/>
        <v>2.1524095264733512</v>
      </c>
      <c r="F39" s="30">
        <v>120107732000</v>
      </c>
      <c r="G39" s="25">
        <f t="shared" si="1"/>
        <v>36032319600</v>
      </c>
      <c r="H39" s="26">
        <f t="shared" si="4"/>
        <v>30</v>
      </c>
      <c r="I39" s="27">
        <v>120107732000</v>
      </c>
      <c r="J39" s="26">
        <f t="shared" si="2"/>
        <v>120107732000</v>
      </c>
      <c r="K39" s="53">
        <f t="shared" si="3"/>
        <v>100</v>
      </c>
      <c r="L39" s="28"/>
    </row>
    <row r="40" spans="1:12" ht="16.5" customHeight="1" x14ac:dyDescent="0.25">
      <c r="A40" s="20"/>
      <c r="B40" s="29" t="s">
        <v>58</v>
      </c>
      <c r="C40" s="30">
        <v>109139654000</v>
      </c>
      <c r="D40" s="23">
        <v>5580152407000</v>
      </c>
      <c r="E40" s="24">
        <f t="shared" si="0"/>
        <v>1.9558543573664797</v>
      </c>
      <c r="F40" s="30">
        <v>109139654000</v>
      </c>
      <c r="G40" s="25">
        <f t="shared" si="1"/>
        <v>32741896200</v>
      </c>
      <c r="H40" s="26">
        <f t="shared" si="4"/>
        <v>30</v>
      </c>
      <c r="I40" s="27">
        <v>109139654000</v>
      </c>
      <c r="J40" s="26">
        <f t="shared" si="2"/>
        <v>109139654000</v>
      </c>
      <c r="K40" s="53">
        <f t="shared" si="3"/>
        <v>100</v>
      </c>
      <c r="L40" s="28"/>
    </row>
    <row r="41" spans="1:12" ht="16.5" customHeight="1" x14ac:dyDescent="0.25">
      <c r="A41" s="20"/>
      <c r="B41" s="29" t="s">
        <v>59</v>
      </c>
      <c r="C41" s="30">
        <v>110491536000</v>
      </c>
      <c r="D41" s="23">
        <v>5580152407000</v>
      </c>
      <c r="E41" s="24">
        <f t="shared" si="0"/>
        <v>1.9800809716486296</v>
      </c>
      <c r="F41" s="30">
        <v>110491536000</v>
      </c>
      <c r="G41" s="25">
        <f t="shared" si="1"/>
        <v>33147460800</v>
      </c>
      <c r="H41" s="26">
        <f t="shared" si="4"/>
        <v>30</v>
      </c>
      <c r="I41" s="27">
        <v>110491536000</v>
      </c>
      <c r="J41" s="26">
        <f t="shared" si="2"/>
        <v>110491536000</v>
      </c>
      <c r="K41" s="53">
        <f t="shared" si="3"/>
        <v>100</v>
      </c>
      <c r="L41" s="28"/>
    </row>
    <row r="42" spans="1:12" ht="16.5" customHeight="1" x14ac:dyDescent="0.25">
      <c r="A42" s="20"/>
      <c r="B42" s="29" t="s">
        <v>4560</v>
      </c>
      <c r="C42" s="30">
        <v>104235693000</v>
      </c>
      <c r="D42" s="23">
        <v>5580152407000</v>
      </c>
      <c r="E42" s="24">
        <f t="shared" si="0"/>
        <v>1.8679721519656336</v>
      </c>
      <c r="F42" s="30">
        <v>104235693000</v>
      </c>
      <c r="G42" s="25">
        <f t="shared" si="1"/>
        <v>31270707900</v>
      </c>
      <c r="H42" s="26">
        <f t="shared" si="4"/>
        <v>30</v>
      </c>
      <c r="I42" s="27">
        <v>104235693000</v>
      </c>
      <c r="J42" s="26">
        <f t="shared" si="2"/>
        <v>104235693000</v>
      </c>
      <c r="K42" s="53">
        <f t="shared" si="3"/>
        <v>100</v>
      </c>
      <c r="L42" s="28"/>
    </row>
    <row r="43" spans="1:12" ht="16.5" customHeight="1" x14ac:dyDescent="0.25">
      <c r="A43" s="20"/>
      <c r="B43" s="29" t="s">
        <v>61</v>
      </c>
      <c r="C43" s="30">
        <v>95555051000</v>
      </c>
      <c r="D43" s="23">
        <v>5580152407000</v>
      </c>
      <c r="E43" s="24">
        <f t="shared" si="0"/>
        <v>1.7124093399336431</v>
      </c>
      <c r="F43" s="30">
        <v>95555051000</v>
      </c>
      <c r="G43" s="25">
        <f t="shared" si="1"/>
        <v>28666515300</v>
      </c>
      <c r="H43" s="26">
        <f t="shared" si="4"/>
        <v>30</v>
      </c>
      <c r="I43" s="27">
        <v>95555051000</v>
      </c>
      <c r="J43" s="26">
        <f t="shared" si="2"/>
        <v>95555051000</v>
      </c>
      <c r="K43" s="53">
        <f t="shared" si="3"/>
        <v>100</v>
      </c>
      <c r="L43" s="28"/>
    </row>
    <row r="44" spans="1:12" ht="16.5" customHeight="1" x14ac:dyDescent="0.25">
      <c r="A44" s="20" t="s">
        <v>62</v>
      </c>
      <c r="B44" s="48" t="s">
        <v>63</v>
      </c>
      <c r="C44" s="49">
        <v>522710000000</v>
      </c>
      <c r="D44" s="23">
        <v>5580152407000</v>
      </c>
      <c r="E44" s="24">
        <f t="shared" si="0"/>
        <v>9.367306873989472</v>
      </c>
      <c r="F44" s="49">
        <v>522710000000</v>
      </c>
      <c r="G44" s="25">
        <f t="shared" ref="G44:G49" si="5">30%*C44</f>
        <v>156813000000</v>
      </c>
      <c r="H44" s="26">
        <f>+G44/F44*100</f>
        <v>30</v>
      </c>
      <c r="I44" s="27">
        <v>522710000000</v>
      </c>
      <c r="J44" s="26">
        <f t="shared" si="2"/>
        <v>522710000000</v>
      </c>
      <c r="K44" s="53">
        <f t="shared" si="3"/>
        <v>100</v>
      </c>
      <c r="L44" s="28"/>
    </row>
    <row r="45" spans="1:12" ht="16.5" customHeight="1" x14ac:dyDescent="0.25">
      <c r="A45" s="20"/>
      <c r="B45" s="48" t="s">
        <v>64</v>
      </c>
      <c r="C45" s="49">
        <v>270000000000</v>
      </c>
      <c r="D45" s="23">
        <v>5580152407000</v>
      </c>
      <c r="E45" s="24">
        <f t="shared" si="0"/>
        <v>4.8385775209526454</v>
      </c>
      <c r="F45" s="49">
        <v>270000000000</v>
      </c>
      <c r="G45" s="25">
        <f t="shared" si="5"/>
        <v>81000000000</v>
      </c>
      <c r="H45" s="26">
        <f t="shared" ref="H45:H49" si="6">+G45/F45*100</f>
        <v>30</v>
      </c>
      <c r="I45" s="27">
        <v>270000000000</v>
      </c>
      <c r="J45" s="26">
        <f t="shared" si="2"/>
        <v>270000000000</v>
      </c>
      <c r="K45" s="53">
        <f t="shared" si="3"/>
        <v>100</v>
      </c>
      <c r="L45" s="28"/>
    </row>
    <row r="46" spans="1:12" ht="16.5" customHeight="1" x14ac:dyDescent="0.25">
      <c r="A46" s="20"/>
      <c r="B46" s="48" t="s">
        <v>65</v>
      </c>
      <c r="C46" s="49">
        <v>200000000000</v>
      </c>
      <c r="D46" s="23">
        <v>5580152407000</v>
      </c>
      <c r="E46" s="24">
        <f t="shared" si="0"/>
        <v>3.5841314970019598</v>
      </c>
      <c r="F46" s="49">
        <v>200000000000</v>
      </c>
      <c r="G46" s="25">
        <f t="shared" si="5"/>
        <v>60000000000</v>
      </c>
      <c r="H46" s="26">
        <f t="shared" si="6"/>
        <v>30</v>
      </c>
      <c r="I46" s="27">
        <v>200000000000</v>
      </c>
      <c r="J46" s="26">
        <f t="shared" si="2"/>
        <v>200000000000</v>
      </c>
      <c r="K46" s="53">
        <f t="shared" si="3"/>
        <v>100</v>
      </c>
      <c r="L46" s="28"/>
    </row>
    <row r="47" spans="1:12" ht="16.5" customHeight="1" x14ac:dyDescent="0.25">
      <c r="A47" s="20"/>
      <c r="B47" s="48" t="s">
        <v>66</v>
      </c>
      <c r="C47" s="49">
        <v>80000000000</v>
      </c>
      <c r="D47" s="23">
        <v>5580152407000</v>
      </c>
      <c r="E47" s="24">
        <f t="shared" si="0"/>
        <v>1.433652598800784</v>
      </c>
      <c r="F47" s="49">
        <v>80000000000</v>
      </c>
      <c r="G47" s="25">
        <f t="shared" si="5"/>
        <v>24000000000</v>
      </c>
      <c r="H47" s="26">
        <f t="shared" si="6"/>
        <v>30</v>
      </c>
      <c r="I47" s="27">
        <v>80000000000</v>
      </c>
      <c r="J47" s="26">
        <f t="shared" si="2"/>
        <v>80000000000</v>
      </c>
      <c r="K47" s="53">
        <f t="shared" si="3"/>
        <v>100</v>
      </c>
      <c r="L47" s="28"/>
    </row>
    <row r="48" spans="1:12" s="57" customFormat="1" ht="16.5" customHeight="1" x14ac:dyDescent="0.25">
      <c r="A48" s="31"/>
      <c r="B48" s="50" t="s">
        <v>67</v>
      </c>
      <c r="C48" s="51">
        <v>495968822000</v>
      </c>
      <c r="D48" s="52">
        <v>5580152407000</v>
      </c>
      <c r="E48" s="53">
        <f t="shared" si="0"/>
        <v>8.8880873823057929</v>
      </c>
      <c r="F48" s="51">
        <v>495968822000</v>
      </c>
      <c r="G48" s="54">
        <f t="shared" si="5"/>
        <v>148790646600</v>
      </c>
      <c r="H48" s="55">
        <f t="shared" si="6"/>
        <v>30</v>
      </c>
      <c r="I48" s="27">
        <v>536670530000</v>
      </c>
      <c r="J48" s="26">
        <f t="shared" si="2"/>
        <v>536670530000</v>
      </c>
      <c r="K48" s="53">
        <f t="shared" si="3"/>
        <v>100</v>
      </c>
      <c r="L48" s="56"/>
    </row>
    <row r="49" spans="1:12" s="57" customFormat="1" ht="16.5" customHeight="1" x14ac:dyDescent="0.25">
      <c r="A49" s="31"/>
      <c r="B49" s="48" t="s">
        <v>68</v>
      </c>
      <c r="C49" s="49">
        <v>150000000000</v>
      </c>
      <c r="D49" s="52">
        <v>5580152407000</v>
      </c>
      <c r="E49" s="53">
        <f>C49/D49*100</f>
        <v>2.68809862275147</v>
      </c>
      <c r="F49" s="49">
        <v>150000000000</v>
      </c>
      <c r="G49" s="54">
        <f t="shared" si="5"/>
        <v>45000000000</v>
      </c>
      <c r="H49" s="55">
        <f t="shared" si="6"/>
        <v>30</v>
      </c>
      <c r="I49" s="27">
        <v>150000000000</v>
      </c>
      <c r="J49" s="26">
        <f t="shared" si="2"/>
        <v>150000000000</v>
      </c>
      <c r="K49" s="53">
        <f t="shared" si="3"/>
        <v>100</v>
      </c>
      <c r="L49" s="56"/>
    </row>
    <row r="50" spans="1:12" s="67" customFormat="1" ht="16.5" customHeight="1" x14ac:dyDescent="0.25">
      <c r="A50" s="58"/>
      <c r="B50" s="59" t="s">
        <v>69</v>
      </c>
      <c r="C50" s="60" t="e">
        <f>+C44+C45+C46+C47+C48+C49+C14+C13+#REF!</f>
        <v>#REF!</v>
      </c>
      <c r="D50" s="61">
        <v>5580152407000</v>
      </c>
      <c r="E50" s="62" t="e">
        <f>C50/C50*100</f>
        <v>#REF!</v>
      </c>
      <c r="F50" s="60" t="e">
        <f>+F44+F45+F46+F47+F48+F49+F14+F13+#REF!</f>
        <v>#REF!</v>
      </c>
      <c r="G50" s="63" t="e">
        <f>+#REF!+G49+G48+G47+G46+G45+G44+G14+G13</f>
        <v>#REF!</v>
      </c>
      <c r="H50" s="64" t="e">
        <f>+G50/F50*100</f>
        <v>#REF!</v>
      </c>
      <c r="I50" s="65">
        <v>5620854115000</v>
      </c>
      <c r="J50" s="167">
        <f t="shared" si="2"/>
        <v>5620854115000</v>
      </c>
      <c r="K50" s="769">
        <f t="shared" si="3"/>
        <v>100</v>
      </c>
      <c r="L50" s="66"/>
    </row>
    <row r="51" spans="1:12" ht="16.5" customHeight="1" x14ac:dyDescent="0.25">
      <c r="A51" s="68"/>
      <c r="B51" s="69"/>
      <c r="C51" s="70"/>
      <c r="D51" s="70"/>
      <c r="E51" s="70"/>
      <c r="F51" s="70"/>
      <c r="G51" s="70"/>
      <c r="H51" s="70"/>
      <c r="I51" s="71"/>
      <c r="J51" s="70"/>
      <c r="K51" s="770"/>
      <c r="L51" s="70"/>
    </row>
    <row r="52" spans="1:12" ht="16.5" customHeight="1" x14ac:dyDescent="0.25">
      <c r="C52" s="72"/>
      <c r="D52" s="72"/>
      <c r="E52" s="72"/>
      <c r="F52" s="72"/>
      <c r="G52" s="72"/>
      <c r="H52" s="72"/>
      <c r="I52" s="73"/>
      <c r="J52" s="72"/>
      <c r="K52" s="771"/>
    </row>
    <row r="53" spans="1:12" ht="16.5" customHeight="1" x14ac:dyDescent="0.25">
      <c r="A53" s="1251"/>
      <c r="B53" s="1252"/>
      <c r="C53" s="1252"/>
      <c r="D53" s="1252"/>
      <c r="E53" s="1252"/>
      <c r="F53" s="1252"/>
      <c r="G53" s="72"/>
      <c r="H53" s="72"/>
      <c r="I53" s="73"/>
      <c r="J53" s="72"/>
      <c r="K53" s="771"/>
    </row>
    <row r="54" spans="1:12" ht="16.5" customHeight="1" x14ac:dyDescent="0.25">
      <c r="C54" s="72"/>
      <c r="D54" s="72"/>
      <c r="E54" s="72"/>
      <c r="F54" s="72"/>
      <c r="G54" s="72"/>
      <c r="H54" s="72"/>
      <c r="I54" s="73"/>
      <c r="J54" s="72"/>
      <c r="K54" s="771"/>
    </row>
    <row r="55" spans="1:12" ht="16.5" customHeight="1" x14ac:dyDescent="0.25">
      <c r="C55" s="72"/>
      <c r="D55" s="72"/>
      <c r="E55" s="72"/>
      <c r="F55" s="72"/>
      <c r="G55" s="72"/>
      <c r="H55" s="72"/>
      <c r="I55" s="73"/>
      <c r="J55" s="72"/>
      <c r="K55" s="771"/>
    </row>
    <row r="56" spans="1:12" ht="16.5" customHeight="1" x14ac:dyDescent="0.25">
      <c r="C56" s="72"/>
      <c r="D56" s="72"/>
      <c r="E56" s="72"/>
      <c r="F56" s="72"/>
      <c r="G56" s="72"/>
      <c r="H56" s="72"/>
      <c r="I56" s="73"/>
      <c r="J56" s="72"/>
      <c r="K56" s="771"/>
    </row>
    <row r="57" spans="1:12" ht="16.5" customHeight="1" x14ac:dyDescent="0.25">
      <c r="C57" s="72"/>
      <c r="D57" s="72"/>
      <c r="E57" s="72"/>
      <c r="F57" s="72"/>
      <c r="G57" s="72"/>
      <c r="H57" s="72"/>
      <c r="I57" s="73"/>
      <c r="J57" s="72"/>
      <c r="K57" s="771"/>
    </row>
    <row r="58" spans="1:12" ht="16.5" customHeight="1" x14ac:dyDescent="0.25">
      <c r="C58" s="72"/>
      <c r="D58" s="72"/>
      <c r="E58" s="72"/>
      <c r="F58" s="72"/>
      <c r="G58" s="72"/>
      <c r="H58" s="72"/>
      <c r="I58" s="73"/>
      <c r="J58" s="72"/>
      <c r="K58" s="771"/>
    </row>
    <row r="59" spans="1:12" ht="16.5" customHeight="1" x14ac:dyDescent="0.25">
      <c r="C59" s="72"/>
      <c r="D59" s="72"/>
      <c r="E59" s="72"/>
      <c r="F59" s="72"/>
      <c r="G59" s="72"/>
      <c r="H59" s="72"/>
      <c r="I59" s="73"/>
      <c r="J59" s="72"/>
      <c r="K59" s="771"/>
    </row>
    <row r="60" spans="1:12" ht="16.5" customHeight="1" x14ac:dyDescent="0.25">
      <c r="C60" s="72"/>
      <c r="D60" s="72"/>
      <c r="E60" s="72"/>
      <c r="F60" s="72"/>
      <c r="G60" s="72"/>
      <c r="H60" s="72"/>
      <c r="I60" s="73"/>
      <c r="J60" s="72"/>
      <c r="K60" s="771"/>
    </row>
    <row r="61" spans="1:12" ht="16.5" customHeight="1" x14ac:dyDescent="0.25">
      <c r="C61" s="72"/>
      <c r="D61" s="72"/>
      <c r="E61" s="72"/>
      <c r="F61" s="72"/>
      <c r="G61" s="72"/>
      <c r="H61" s="72"/>
      <c r="I61" s="73"/>
      <c r="J61" s="72"/>
      <c r="K61" s="771"/>
    </row>
  </sheetData>
  <mergeCells count="21">
    <mergeCell ref="K6:L7"/>
    <mergeCell ref="A1:L1"/>
    <mergeCell ref="A2:L2"/>
    <mergeCell ref="A3:L3"/>
    <mergeCell ref="A4:L4"/>
    <mergeCell ref="A5:L5"/>
    <mergeCell ref="L9:L11"/>
    <mergeCell ref="C10:C11"/>
    <mergeCell ref="E10:E11"/>
    <mergeCell ref="F10:F11"/>
    <mergeCell ref="G10:G11"/>
    <mergeCell ref="H10:H11"/>
    <mergeCell ref="I10:I11"/>
    <mergeCell ref="J10:J11"/>
    <mergeCell ref="K10:K11"/>
    <mergeCell ref="I9:K9"/>
    <mergeCell ref="A53:F53"/>
    <mergeCell ref="A9:A11"/>
    <mergeCell ref="B9:B11"/>
    <mergeCell ref="C9:E9"/>
    <mergeCell ref="F9:H9"/>
  </mergeCells>
  <printOptions horizontalCentered="1"/>
  <pageMargins left="0.59055118110236227" right="0" top="0.35433070866141736" bottom="0.78740157480314965" header="0.31496062992125984" footer="0.31496062992125984"/>
  <pageSetup paperSize="258" scale="85" orientation="portrait" horizontalDpi="1200" verticalDpi="1200" r:id="rId1"/>
  <colBreaks count="1" manualBreakCount="1">
    <brk id="12" max="6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77"/>
  <sheetViews>
    <sheetView view="pageBreakPreview" zoomScale="70" zoomScaleNormal="80" zoomScaleSheetLayoutView="70" workbookViewId="0">
      <selection activeCell="C3" sqref="C3:N3"/>
    </sheetView>
  </sheetViews>
  <sheetFormatPr defaultColWidth="8.85546875" defaultRowHeight="20.100000000000001" customHeight="1" x14ac:dyDescent="0.25"/>
  <cols>
    <col min="1" max="1" width="18.140625" style="1053" customWidth="1"/>
    <col min="2" max="2" width="2.28515625" style="1053" customWidth="1"/>
    <col min="3" max="3" width="8.140625" style="1060" customWidth="1"/>
    <col min="4" max="4" width="56.85546875" style="1053" bestFit="1" customWidth="1"/>
    <col min="5" max="5" width="25.28515625" style="952" bestFit="1" customWidth="1"/>
    <col min="6" max="6" width="24.7109375" style="952" hidden="1" customWidth="1"/>
    <col min="7" max="7" width="18.5703125" style="952" bestFit="1" customWidth="1"/>
    <col min="8" max="11" width="12.42578125" style="952" customWidth="1"/>
    <col min="12" max="12" width="9.140625" style="952" customWidth="1"/>
    <col min="13" max="13" width="10.5703125" style="952" customWidth="1"/>
    <col min="14" max="14" width="11" style="1053" customWidth="1"/>
    <col min="15" max="15" width="2.42578125" style="1053" customWidth="1"/>
    <col min="16" max="256" width="8.85546875" style="1053"/>
    <col min="257" max="257" width="18.140625" style="1053" customWidth="1"/>
    <col min="258" max="258" width="2.28515625" style="1053" customWidth="1"/>
    <col min="259" max="259" width="8.140625" style="1053" customWidth="1"/>
    <col min="260" max="260" width="42.5703125" style="1053" customWidth="1"/>
    <col min="261" max="261" width="24.85546875" style="1053" customWidth="1"/>
    <col min="262" max="262" width="24.7109375" style="1053" customWidth="1"/>
    <col min="263" max="263" width="10" style="1053" customWidth="1"/>
    <col min="264" max="268" width="12.42578125" style="1053" customWidth="1"/>
    <col min="269" max="269" width="10.5703125" style="1053" customWidth="1"/>
    <col min="270" max="270" width="15.28515625" style="1053" customWidth="1"/>
    <col min="271" max="271" width="2.42578125" style="1053" customWidth="1"/>
    <col min="272" max="512" width="8.85546875" style="1053"/>
    <col min="513" max="513" width="18.140625" style="1053" customWidth="1"/>
    <col min="514" max="514" width="2.28515625" style="1053" customWidth="1"/>
    <col min="515" max="515" width="8.140625" style="1053" customWidth="1"/>
    <col min="516" max="516" width="42.5703125" style="1053" customWidth="1"/>
    <col min="517" max="517" width="24.85546875" style="1053" customWidth="1"/>
    <col min="518" max="518" width="24.7109375" style="1053" customWidth="1"/>
    <col min="519" max="519" width="10" style="1053" customWidth="1"/>
    <col min="520" max="524" width="12.42578125" style="1053" customWidth="1"/>
    <col min="525" max="525" width="10.5703125" style="1053" customWidth="1"/>
    <col min="526" max="526" width="15.28515625" style="1053" customWidth="1"/>
    <col min="527" max="527" width="2.42578125" style="1053" customWidth="1"/>
    <col min="528" max="768" width="8.85546875" style="1053"/>
    <col min="769" max="769" width="18.140625" style="1053" customWidth="1"/>
    <col min="770" max="770" width="2.28515625" style="1053" customWidth="1"/>
    <col min="771" max="771" width="8.140625" style="1053" customWidth="1"/>
    <col min="772" max="772" width="42.5703125" style="1053" customWidth="1"/>
    <col min="773" max="773" width="24.85546875" style="1053" customWidth="1"/>
    <col min="774" max="774" width="24.7109375" style="1053" customWidth="1"/>
    <col min="775" max="775" width="10" style="1053" customWidth="1"/>
    <col min="776" max="780" width="12.42578125" style="1053" customWidth="1"/>
    <col min="781" max="781" width="10.5703125" style="1053" customWidth="1"/>
    <col min="782" max="782" width="15.28515625" style="1053" customWidth="1"/>
    <col min="783" max="783" width="2.42578125" style="1053" customWidth="1"/>
    <col min="784" max="1024" width="8.85546875" style="1053"/>
    <col min="1025" max="1025" width="18.140625" style="1053" customWidth="1"/>
    <col min="1026" max="1026" width="2.28515625" style="1053" customWidth="1"/>
    <col min="1027" max="1027" width="8.140625" style="1053" customWidth="1"/>
    <col min="1028" max="1028" width="42.5703125" style="1053" customWidth="1"/>
    <col min="1029" max="1029" width="24.85546875" style="1053" customWidth="1"/>
    <col min="1030" max="1030" width="24.7109375" style="1053" customWidth="1"/>
    <col min="1031" max="1031" width="10" style="1053" customWidth="1"/>
    <col min="1032" max="1036" width="12.42578125" style="1053" customWidth="1"/>
    <col min="1037" max="1037" width="10.5703125" style="1053" customWidth="1"/>
    <col min="1038" max="1038" width="15.28515625" style="1053" customWidth="1"/>
    <col min="1039" max="1039" width="2.42578125" style="1053" customWidth="1"/>
    <col min="1040" max="1280" width="8.85546875" style="1053"/>
    <col min="1281" max="1281" width="18.140625" style="1053" customWidth="1"/>
    <col min="1282" max="1282" width="2.28515625" style="1053" customWidth="1"/>
    <col min="1283" max="1283" width="8.140625" style="1053" customWidth="1"/>
    <col min="1284" max="1284" width="42.5703125" style="1053" customWidth="1"/>
    <col min="1285" max="1285" width="24.85546875" style="1053" customWidth="1"/>
    <col min="1286" max="1286" width="24.7109375" style="1053" customWidth="1"/>
    <col min="1287" max="1287" width="10" style="1053" customWidth="1"/>
    <col min="1288" max="1292" width="12.42578125" style="1053" customWidth="1"/>
    <col min="1293" max="1293" width="10.5703125" style="1053" customWidth="1"/>
    <col min="1294" max="1294" width="15.28515625" style="1053" customWidth="1"/>
    <col min="1295" max="1295" width="2.42578125" style="1053" customWidth="1"/>
    <col min="1296" max="1536" width="8.85546875" style="1053"/>
    <col min="1537" max="1537" width="18.140625" style="1053" customWidth="1"/>
    <col min="1538" max="1538" width="2.28515625" style="1053" customWidth="1"/>
    <col min="1539" max="1539" width="8.140625" style="1053" customWidth="1"/>
    <col min="1540" max="1540" width="42.5703125" style="1053" customWidth="1"/>
    <col min="1541" max="1541" width="24.85546875" style="1053" customWidth="1"/>
    <col min="1542" max="1542" width="24.7109375" style="1053" customWidth="1"/>
    <col min="1543" max="1543" width="10" style="1053" customWidth="1"/>
    <col min="1544" max="1548" width="12.42578125" style="1053" customWidth="1"/>
    <col min="1549" max="1549" width="10.5703125" style="1053" customWidth="1"/>
    <col min="1550" max="1550" width="15.28515625" style="1053" customWidth="1"/>
    <col min="1551" max="1551" width="2.42578125" style="1053" customWidth="1"/>
    <col min="1552" max="1792" width="8.85546875" style="1053"/>
    <col min="1793" max="1793" width="18.140625" style="1053" customWidth="1"/>
    <col min="1794" max="1794" width="2.28515625" style="1053" customWidth="1"/>
    <col min="1795" max="1795" width="8.140625" style="1053" customWidth="1"/>
    <col min="1796" max="1796" width="42.5703125" style="1053" customWidth="1"/>
    <col min="1797" max="1797" width="24.85546875" style="1053" customWidth="1"/>
    <col min="1798" max="1798" width="24.7109375" style="1053" customWidth="1"/>
    <col min="1799" max="1799" width="10" style="1053" customWidth="1"/>
    <col min="1800" max="1804" width="12.42578125" style="1053" customWidth="1"/>
    <col min="1805" max="1805" width="10.5703125" style="1053" customWidth="1"/>
    <col min="1806" max="1806" width="15.28515625" style="1053" customWidth="1"/>
    <col min="1807" max="1807" width="2.42578125" style="1053" customWidth="1"/>
    <col min="1808" max="2048" width="8.85546875" style="1053"/>
    <col min="2049" max="2049" width="18.140625" style="1053" customWidth="1"/>
    <col min="2050" max="2050" width="2.28515625" style="1053" customWidth="1"/>
    <col min="2051" max="2051" width="8.140625" style="1053" customWidth="1"/>
    <col min="2052" max="2052" width="42.5703125" style="1053" customWidth="1"/>
    <col min="2053" max="2053" width="24.85546875" style="1053" customWidth="1"/>
    <col min="2054" max="2054" width="24.7109375" style="1053" customWidth="1"/>
    <col min="2055" max="2055" width="10" style="1053" customWidth="1"/>
    <col min="2056" max="2060" width="12.42578125" style="1053" customWidth="1"/>
    <col min="2061" max="2061" width="10.5703125" style="1053" customWidth="1"/>
    <col min="2062" max="2062" width="15.28515625" style="1053" customWidth="1"/>
    <col min="2063" max="2063" width="2.42578125" style="1053" customWidth="1"/>
    <col min="2064" max="2304" width="8.85546875" style="1053"/>
    <col min="2305" max="2305" width="18.140625" style="1053" customWidth="1"/>
    <col min="2306" max="2306" width="2.28515625" style="1053" customWidth="1"/>
    <col min="2307" max="2307" width="8.140625" style="1053" customWidth="1"/>
    <col min="2308" max="2308" width="42.5703125" style="1053" customWidth="1"/>
    <col min="2309" max="2309" width="24.85546875" style="1053" customWidth="1"/>
    <col min="2310" max="2310" width="24.7109375" style="1053" customWidth="1"/>
    <col min="2311" max="2311" width="10" style="1053" customWidth="1"/>
    <col min="2312" max="2316" width="12.42578125" style="1053" customWidth="1"/>
    <col min="2317" max="2317" width="10.5703125" style="1053" customWidth="1"/>
    <col min="2318" max="2318" width="15.28515625" style="1053" customWidth="1"/>
    <col min="2319" max="2319" width="2.42578125" style="1053" customWidth="1"/>
    <col min="2320" max="2560" width="8.85546875" style="1053"/>
    <col min="2561" max="2561" width="18.140625" style="1053" customWidth="1"/>
    <col min="2562" max="2562" width="2.28515625" style="1053" customWidth="1"/>
    <col min="2563" max="2563" width="8.140625" style="1053" customWidth="1"/>
    <col min="2564" max="2564" width="42.5703125" style="1053" customWidth="1"/>
    <col min="2565" max="2565" width="24.85546875" style="1053" customWidth="1"/>
    <col min="2566" max="2566" width="24.7109375" style="1053" customWidth="1"/>
    <col min="2567" max="2567" width="10" style="1053" customWidth="1"/>
    <col min="2568" max="2572" width="12.42578125" style="1053" customWidth="1"/>
    <col min="2573" max="2573" width="10.5703125" style="1053" customWidth="1"/>
    <col min="2574" max="2574" width="15.28515625" style="1053" customWidth="1"/>
    <col min="2575" max="2575" width="2.42578125" style="1053" customWidth="1"/>
    <col min="2576" max="2816" width="8.85546875" style="1053"/>
    <col min="2817" max="2817" width="18.140625" style="1053" customWidth="1"/>
    <col min="2818" max="2818" width="2.28515625" style="1053" customWidth="1"/>
    <col min="2819" max="2819" width="8.140625" style="1053" customWidth="1"/>
    <col min="2820" max="2820" width="42.5703125" style="1053" customWidth="1"/>
    <col min="2821" max="2821" width="24.85546875" style="1053" customWidth="1"/>
    <col min="2822" max="2822" width="24.7109375" style="1053" customWidth="1"/>
    <col min="2823" max="2823" width="10" style="1053" customWidth="1"/>
    <col min="2824" max="2828" width="12.42578125" style="1053" customWidth="1"/>
    <col min="2829" max="2829" width="10.5703125" style="1053" customWidth="1"/>
    <col min="2830" max="2830" width="15.28515625" style="1053" customWidth="1"/>
    <col min="2831" max="2831" width="2.42578125" style="1053" customWidth="1"/>
    <col min="2832" max="3072" width="8.85546875" style="1053"/>
    <col min="3073" max="3073" width="18.140625" style="1053" customWidth="1"/>
    <col min="3074" max="3074" width="2.28515625" style="1053" customWidth="1"/>
    <col min="3075" max="3075" width="8.140625" style="1053" customWidth="1"/>
    <col min="3076" max="3076" width="42.5703125" style="1053" customWidth="1"/>
    <col min="3077" max="3077" width="24.85546875" style="1053" customWidth="1"/>
    <col min="3078" max="3078" width="24.7109375" style="1053" customWidth="1"/>
    <col min="3079" max="3079" width="10" style="1053" customWidth="1"/>
    <col min="3080" max="3084" width="12.42578125" style="1053" customWidth="1"/>
    <col min="3085" max="3085" width="10.5703125" style="1053" customWidth="1"/>
    <col min="3086" max="3086" width="15.28515625" style="1053" customWidth="1"/>
    <col min="3087" max="3087" width="2.42578125" style="1053" customWidth="1"/>
    <col min="3088" max="3328" width="8.85546875" style="1053"/>
    <col min="3329" max="3329" width="18.140625" style="1053" customWidth="1"/>
    <col min="3330" max="3330" width="2.28515625" style="1053" customWidth="1"/>
    <col min="3331" max="3331" width="8.140625" style="1053" customWidth="1"/>
    <col min="3332" max="3332" width="42.5703125" style="1053" customWidth="1"/>
    <col min="3333" max="3333" width="24.85546875" style="1053" customWidth="1"/>
    <col min="3334" max="3334" width="24.7109375" style="1053" customWidth="1"/>
    <col min="3335" max="3335" width="10" style="1053" customWidth="1"/>
    <col min="3336" max="3340" width="12.42578125" style="1053" customWidth="1"/>
    <col min="3341" max="3341" width="10.5703125" style="1053" customWidth="1"/>
    <col min="3342" max="3342" width="15.28515625" style="1053" customWidth="1"/>
    <col min="3343" max="3343" width="2.42578125" style="1053" customWidth="1"/>
    <col min="3344" max="3584" width="8.85546875" style="1053"/>
    <col min="3585" max="3585" width="18.140625" style="1053" customWidth="1"/>
    <col min="3586" max="3586" width="2.28515625" style="1053" customWidth="1"/>
    <col min="3587" max="3587" width="8.140625" style="1053" customWidth="1"/>
    <col min="3588" max="3588" width="42.5703125" style="1053" customWidth="1"/>
    <col min="3589" max="3589" width="24.85546875" style="1053" customWidth="1"/>
    <col min="3590" max="3590" width="24.7109375" style="1053" customWidth="1"/>
    <col min="3591" max="3591" width="10" style="1053" customWidth="1"/>
    <col min="3592" max="3596" width="12.42578125" style="1053" customWidth="1"/>
    <col min="3597" max="3597" width="10.5703125" style="1053" customWidth="1"/>
    <col min="3598" max="3598" width="15.28515625" style="1053" customWidth="1"/>
    <col min="3599" max="3599" width="2.42578125" style="1053" customWidth="1"/>
    <col min="3600" max="3840" width="8.85546875" style="1053"/>
    <col min="3841" max="3841" width="18.140625" style="1053" customWidth="1"/>
    <col min="3842" max="3842" width="2.28515625" style="1053" customWidth="1"/>
    <col min="3843" max="3843" width="8.140625" style="1053" customWidth="1"/>
    <col min="3844" max="3844" width="42.5703125" style="1053" customWidth="1"/>
    <col min="3845" max="3845" width="24.85546875" style="1053" customWidth="1"/>
    <col min="3846" max="3846" width="24.7109375" style="1053" customWidth="1"/>
    <col min="3847" max="3847" width="10" style="1053" customWidth="1"/>
    <col min="3848" max="3852" width="12.42578125" style="1053" customWidth="1"/>
    <col min="3853" max="3853" width="10.5703125" style="1053" customWidth="1"/>
    <col min="3854" max="3854" width="15.28515625" style="1053" customWidth="1"/>
    <col min="3855" max="3855" width="2.42578125" style="1053" customWidth="1"/>
    <col min="3856" max="4096" width="8.85546875" style="1053"/>
    <col min="4097" max="4097" width="18.140625" style="1053" customWidth="1"/>
    <col min="4098" max="4098" width="2.28515625" style="1053" customWidth="1"/>
    <col min="4099" max="4099" width="8.140625" style="1053" customWidth="1"/>
    <col min="4100" max="4100" width="42.5703125" style="1053" customWidth="1"/>
    <col min="4101" max="4101" width="24.85546875" style="1053" customWidth="1"/>
    <col min="4102" max="4102" width="24.7109375" style="1053" customWidth="1"/>
    <col min="4103" max="4103" width="10" style="1053" customWidth="1"/>
    <col min="4104" max="4108" width="12.42578125" style="1053" customWidth="1"/>
    <col min="4109" max="4109" width="10.5703125" style="1053" customWidth="1"/>
    <col min="4110" max="4110" width="15.28515625" style="1053" customWidth="1"/>
    <col min="4111" max="4111" width="2.42578125" style="1053" customWidth="1"/>
    <col min="4112" max="4352" width="8.85546875" style="1053"/>
    <col min="4353" max="4353" width="18.140625" style="1053" customWidth="1"/>
    <col min="4354" max="4354" width="2.28515625" style="1053" customWidth="1"/>
    <col min="4355" max="4355" width="8.140625" style="1053" customWidth="1"/>
    <col min="4356" max="4356" width="42.5703125" style="1053" customWidth="1"/>
    <col min="4357" max="4357" width="24.85546875" style="1053" customWidth="1"/>
    <col min="4358" max="4358" width="24.7109375" style="1053" customWidth="1"/>
    <col min="4359" max="4359" width="10" style="1053" customWidth="1"/>
    <col min="4360" max="4364" width="12.42578125" style="1053" customWidth="1"/>
    <col min="4365" max="4365" width="10.5703125" style="1053" customWidth="1"/>
    <col min="4366" max="4366" width="15.28515625" style="1053" customWidth="1"/>
    <col min="4367" max="4367" width="2.42578125" style="1053" customWidth="1"/>
    <col min="4368" max="4608" width="8.85546875" style="1053"/>
    <col min="4609" max="4609" width="18.140625" style="1053" customWidth="1"/>
    <col min="4610" max="4610" width="2.28515625" style="1053" customWidth="1"/>
    <col min="4611" max="4611" width="8.140625" style="1053" customWidth="1"/>
    <col min="4612" max="4612" width="42.5703125" style="1053" customWidth="1"/>
    <col min="4613" max="4613" width="24.85546875" style="1053" customWidth="1"/>
    <col min="4614" max="4614" width="24.7109375" style="1053" customWidth="1"/>
    <col min="4615" max="4615" width="10" style="1053" customWidth="1"/>
    <col min="4616" max="4620" width="12.42578125" style="1053" customWidth="1"/>
    <col min="4621" max="4621" width="10.5703125" style="1053" customWidth="1"/>
    <col min="4622" max="4622" width="15.28515625" style="1053" customWidth="1"/>
    <col min="4623" max="4623" width="2.42578125" style="1053" customWidth="1"/>
    <col min="4624" max="4864" width="8.85546875" style="1053"/>
    <col min="4865" max="4865" width="18.140625" style="1053" customWidth="1"/>
    <col min="4866" max="4866" width="2.28515625" style="1053" customWidth="1"/>
    <col min="4867" max="4867" width="8.140625" style="1053" customWidth="1"/>
    <col min="4868" max="4868" width="42.5703125" style="1053" customWidth="1"/>
    <col min="4869" max="4869" width="24.85546875" style="1053" customWidth="1"/>
    <col min="4870" max="4870" width="24.7109375" style="1053" customWidth="1"/>
    <col min="4871" max="4871" width="10" style="1053" customWidth="1"/>
    <col min="4872" max="4876" width="12.42578125" style="1053" customWidth="1"/>
    <col min="4877" max="4877" width="10.5703125" style="1053" customWidth="1"/>
    <col min="4878" max="4878" width="15.28515625" style="1053" customWidth="1"/>
    <col min="4879" max="4879" width="2.42578125" style="1053" customWidth="1"/>
    <col min="4880" max="5120" width="8.85546875" style="1053"/>
    <col min="5121" max="5121" width="18.140625" style="1053" customWidth="1"/>
    <col min="5122" max="5122" width="2.28515625" style="1053" customWidth="1"/>
    <col min="5123" max="5123" width="8.140625" style="1053" customWidth="1"/>
    <col min="5124" max="5124" width="42.5703125" style="1053" customWidth="1"/>
    <col min="5125" max="5125" width="24.85546875" style="1053" customWidth="1"/>
    <col min="5126" max="5126" width="24.7109375" style="1053" customWidth="1"/>
    <col min="5127" max="5127" width="10" style="1053" customWidth="1"/>
    <col min="5128" max="5132" width="12.42578125" style="1053" customWidth="1"/>
    <col min="5133" max="5133" width="10.5703125" style="1053" customWidth="1"/>
    <col min="5134" max="5134" width="15.28515625" style="1053" customWidth="1"/>
    <col min="5135" max="5135" width="2.42578125" style="1053" customWidth="1"/>
    <col min="5136" max="5376" width="8.85546875" style="1053"/>
    <col min="5377" max="5377" width="18.140625" style="1053" customWidth="1"/>
    <col min="5378" max="5378" width="2.28515625" style="1053" customWidth="1"/>
    <col min="5379" max="5379" width="8.140625" style="1053" customWidth="1"/>
    <col min="5380" max="5380" width="42.5703125" style="1053" customWidth="1"/>
    <col min="5381" max="5381" width="24.85546875" style="1053" customWidth="1"/>
    <col min="5382" max="5382" width="24.7109375" style="1053" customWidth="1"/>
    <col min="5383" max="5383" width="10" style="1053" customWidth="1"/>
    <col min="5384" max="5388" width="12.42578125" style="1053" customWidth="1"/>
    <col min="5389" max="5389" width="10.5703125" style="1053" customWidth="1"/>
    <col min="5390" max="5390" width="15.28515625" style="1053" customWidth="1"/>
    <col min="5391" max="5391" width="2.42578125" style="1053" customWidth="1"/>
    <col min="5392" max="5632" width="8.85546875" style="1053"/>
    <col min="5633" max="5633" width="18.140625" style="1053" customWidth="1"/>
    <col min="5634" max="5634" width="2.28515625" style="1053" customWidth="1"/>
    <col min="5635" max="5635" width="8.140625" style="1053" customWidth="1"/>
    <col min="5636" max="5636" width="42.5703125" style="1053" customWidth="1"/>
    <col min="5637" max="5637" width="24.85546875" style="1053" customWidth="1"/>
    <col min="5638" max="5638" width="24.7109375" style="1053" customWidth="1"/>
    <col min="5639" max="5639" width="10" style="1053" customWidth="1"/>
    <col min="5640" max="5644" width="12.42578125" style="1053" customWidth="1"/>
    <col min="5645" max="5645" width="10.5703125" style="1053" customWidth="1"/>
    <col min="5646" max="5646" width="15.28515625" style="1053" customWidth="1"/>
    <col min="5647" max="5647" width="2.42578125" style="1053" customWidth="1"/>
    <col min="5648" max="5888" width="8.85546875" style="1053"/>
    <col min="5889" max="5889" width="18.140625" style="1053" customWidth="1"/>
    <col min="5890" max="5890" width="2.28515625" style="1053" customWidth="1"/>
    <col min="5891" max="5891" width="8.140625" style="1053" customWidth="1"/>
    <col min="5892" max="5892" width="42.5703125" style="1053" customWidth="1"/>
    <col min="5893" max="5893" width="24.85546875" style="1053" customWidth="1"/>
    <col min="5894" max="5894" width="24.7109375" style="1053" customWidth="1"/>
    <col min="5895" max="5895" width="10" style="1053" customWidth="1"/>
    <col min="5896" max="5900" width="12.42578125" style="1053" customWidth="1"/>
    <col min="5901" max="5901" width="10.5703125" style="1053" customWidth="1"/>
    <col min="5902" max="5902" width="15.28515625" style="1053" customWidth="1"/>
    <col min="5903" max="5903" width="2.42578125" style="1053" customWidth="1"/>
    <col min="5904" max="6144" width="8.85546875" style="1053"/>
    <col min="6145" max="6145" width="18.140625" style="1053" customWidth="1"/>
    <col min="6146" max="6146" width="2.28515625" style="1053" customWidth="1"/>
    <col min="6147" max="6147" width="8.140625" style="1053" customWidth="1"/>
    <col min="6148" max="6148" width="42.5703125" style="1053" customWidth="1"/>
    <col min="6149" max="6149" width="24.85546875" style="1053" customWidth="1"/>
    <col min="6150" max="6150" width="24.7109375" style="1053" customWidth="1"/>
    <col min="6151" max="6151" width="10" style="1053" customWidth="1"/>
    <col min="6152" max="6156" width="12.42578125" style="1053" customWidth="1"/>
    <col min="6157" max="6157" width="10.5703125" style="1053" customWidth="1"/>
    <col min="6158" max="6158" width="15.28515625" style="1053" customWidth="1"/>
    <col min="6159" max="6159" width="2.42578125" style="1053" customWidth="1"/>
    <col min="6160" max="6400" width="8.85546875" style="1053"/>
    <col min="6401" max="6401" width="18.140625" style="1053" customWidth="1"/>
    <col min="6402" max="6402" width="2.28515625" style="1053" customWidth="1"/>
    <col min="6403" max="6403" width="8.140625" style="1053" customWidth="1"/>
    <col min="6404" max="6404" width="42.5703125" style="1053" customWidth="1"/>
    <col min="6405" max="6405" width="24.85546875" style="1053" customWidth="1"/>
    <col min="6406" max="6406" width="24.7109375" style="1053" customWidth="1"/>
    <col min="6407" max="6407" width="10" style="1053" customWidth="1"/>
    <col min="6408" max="6412" width="12.42578125" style="1053" customWidth="1"/>
    <col min="6413" max="6413" width="10.5703125" style="1053" customWidth="1"/>
    <col min="6414" max="6414" width="15.28515625" style="1053" customWidth="1"/>
    <col min="6415" max="6415" width="2.42578125" style="1053" customWidth="1"/>
    <col min="6416" max="6656" width="8.85546875" style="1053"/>
    <col min="6657" max="6657" width="18.140625" style="1053" customWidth="1"/>
    <col min="6658" max="6658" width="2.28515625" style="1053" customWidth="1"/>
    <col min="6659" max="6659" width="8.140625" style="1053" customWidth="1"/>
    <col min="6660" max="6660" width="42.5703125" style="1053" customWidth="1"/>
    <col min="6661" max="6661" width="24.85546875" style="1053" customWidth="1"/>
    <col min="6662" max="6662" width="24.7109375" style="1053" customWidth="1"/>
    <col min="6663" max="6663" width="10" style="1053" customWidth="1"/>
    <col min="6664" max="6668" width="12.42578125" style="1053" customWidth="1"/>
    <col min="6669" max="6669" width="10.5703125" style="1053" customWidth="1"/>
    <col min="6670" max="6670" width="15.28515625" style="1053" customWidth="1"/>
    <col min="6671" max="6671" width="2.42578125" style="1053" customWidth="1"/>
    <col min="6672" max="6912" width="8.85546875" style="1053"/>
    <col min="6913" max="6913" width="18.140625" style="1053" customWidth="1"/>
    <col min="6914" max="6914" width="2.28515625" style="1053" customWidth="1"/>
    <col min="6915" max="6915" width="8.140625" style="1053" customWidth="1"/>
    <col min="6916" max="6916" width="42.5703125" style="1053" customWidth="1"/>
    <col min="6917" max="6917" width="24.85546875" style="1053" customWidth="1"/>
    <col min="6918" max="6918" width="24.7109375" style="1053" customWidth="1"/>
    <col min="6919" max="6919" width="10" style="1053" customWidth="1"/>
    <col min="6920" max="6924" width="12.42578125" style="1053" customWidth="1"/>
    <col min="6925" max="6925" width="10.5703125" style="1053" customWidth="1"/>
    <col min="6926" max="6926" width="15.28515625" style="1053" customWidth="1"/>
    <col min="6927" max="6927" width="2.42578125" style="1053" customWidth="1"/>
    <col min="6928" max="7168" width="8.85546875" style="1053"/>
    <col min="7169" max="7169" width="18.140625" style="1053" customWidth="1"/>
    <col min="7170" max="7170" width="2.28515625" style="1053" customWidth="1"/>
    <col min="7171" max="7171" width="8.140625" style="1053" customWidth="1"/>
    <col min="7172" max="7172" width="42.5703125" style="1053" customWidth="1"/>
    <col min="7173" max="7173" width="24.85546875" style="1053" customWidth="1"/>
    <col min="7174" max="7174" width="24.7109375" style="1053" customWidth="1"/>
    <col min="7175" max="7175" width="10" style="1053" customWidth="1"/>
    <col min="7176" max="7180" width="12.42578125" style="1053" customWidth="1"/>
    <col min="7181" max="7181" width="10.5703125" style="1053" customWidth="1"/>
    <col min="7182" max="7182" width="15.28515625" style="1053" customWidth="1"/>
    <col min="7183" max="7183" width="2.42578125" style="1053" customWidth="1"/>
    <col min="7184" max="7424" width="8.85546875" style="1053"/>
    <col min="7425" max="7425" width="18.140625" style="1053" customWidth="1"/>
    <col min="7426" max="7426" width="2.28515625" style="1053" customWidth="1"/>
    <col min="7427" max="7427" width="8.140625" style="1053" customWidth="1"/>
    <col min="7428" max="7428" width="42.5703125" style="1053" customWidth="1"/>
    <col min="7429" max="7429" width="24.85546875" style="1053" customWidth="1"/>
    <col min="7430" max="7430" width="24.7109375" style="1053" customWidth="1"/>
    <col min="7431" max="7431" width="10" style="1053" customWidth="1"/>
    <col min="7432" max="7436" width="12.42578125" style="1053" customWidth="1"/>
    <col min="7437" max="7437" width="10.5703125" style="1053" customWidth="1"/>
    <col min="7438" max="7438" width="15.28515625" style="1053" customWidth="1"/>
    <col min="7439" max="7439" width="2.42578125" style="1053" customWidth="1"/>
    <col min="7440" max="7680" width="8.85546875" style="1053"/>
    <col min="7681" max="7681" width="18.140625" style="1053" customWidth="1"/>
    <col min="7682" max="7682" width="2.28515625" style="1053" customWidth="1"/>
    <col min="7683" max="7683" width="8.140625" style="1053" customWidth="1"/>
    <col min="7684" max="7684" width="42.5703125" style="1053" customWidth="1"/>
    <col min="7685" max="7685" width="24.85546875" style="1053" customWidth="1"/>
    <col min="7686" max="7686" width="24.7109375" style="1053" customWidth="1"/>
    <col min="7687" max="7687" width="10" style="1053" customWidth="1"/>
    <col min="7688" max="7692" width="12.42578125" style="1053" customWidth="1"/>
    <col min="7693" max="7693" width="10.5703125" style="1053" customWidth="1"/>
    <col min="7694" max="7694" width="15.28515625" style="1053" customWidth="1"/>
    <col min="7695" max="7695" width="2.42578125" style="1053" customWidth="1"/>
    <col min="7696" max="7936" width="8.85546875" style="1053"/>
    <col min="7937" max="7937" width="18.140625" style="1053" customWidth="1"/>
    <col min="7938" max="7938" width="2.28515625" style="1053" customWidth="1"/>
    <col min="7939" max="7939" width="8.140625" style="1053" customWidth="1"/>
    <col min="7940" max="7940" width="42.5703125" style="1053" customWidth="1"/>
    <col min="7941" max="7941" width="24.85546875" style="1053" customWidth="1"/>
    <col min="7942" max="7942" width="24.7109375" style="1053" customWidth="1"/>
    <col min="7943" max="7943" width="10" style="1053" customWidth="1"/>
    <col min="7944" max="7948" width="12.42578125" style="1053" customWidth="1"/>
    <col min="7949" max="7949" width="10.5703125" style="1053" customWidth="1"/>
    <col min="7950" max="7950" width="15.28515625" style="1053" customWidth="1"/>
    <col min="7951" max="7951" width="2.42578125" style="1053" customWidth="1"/>
    <col min="7952" max="8192" width="8.85546875" style="1053"/>
    <col min="8193" max="8193" width="18.140625" style="1053" customWidth="1"/>
    <col min="8194" max="8194" width="2.28515625" style="1053" customWidth="1"/>
    <col min="8195" max="8195" width="8.140625" style="1053" customWidth="1"/>
    <col min="8196" max="8196" width="42.5703125" style="1053" customWidth="1"/>
    <col min="8197" max="8197" width="24.85546875" style="1053" customWidth="1"/>
    <col min="8198" max="8198" width="24.7109375" style="1053" customWidth="1"/>
    <col min="8199" max="8199" width="10" style="1053" customWidth="1"/>
    <col min="8200" max="8204" width="12.42578125" style="1053" customWidth="1"/>
    <col min="8205" max="8205" width="10.5703125" style="1053" customWidth="1"/>
    <col min="8206" max="8206" width="15.28515625" style="1053" customWidth="1"/>
    <col min="8207" max="8207" width="2.42578125" style="1053" customWidth="1"/>
    <col min="8208" max="8448" width="8.85546875" style="1053"/>
    <col min="8449" max="8449" width="18.140625" style="1053" customWidth="1"/>
    <col min="8450" max="8450" width="2.28515625" style="1053" customWidth="1"/>
    <col min="8451" max="8451" width="8.140625" style="1053" customWidth="1"/>
    <col min="8452" max="8452" width="42.5703125" style="1053" customWidth="1"/>
    <col min="8453" max="8453" width="24.85546875" style="1053" customWidth="1"/>
    <col min="8454" max="8454" width="24.7109375" style="1053" customWidth="1"/>
    <col min="8455" max="8455" width="10" style="1053" customWidth="1"/>
    <col min="8456" max="8460" width="12.42578125" style="1053" customWidth="1"/>
    <col min="8461" max="8461" width="10.5703125" style="1053" customWidth="1"/>
    <col min="8462" max="8462" width="15.28515625" style="1053" customWidth="1"/>
    <col min="8463" max="8463" width="2.42578125" style="1053" customWidth="1"/>
    <col min="8464" max="8704" width="8.85546875" style="1053"/>
    <col min="8705" max="8705" width="18.140625" style="1053" customWidth="1"/>
    <col min="8706" max="8706" width="2.28515625" style="1053" customWidth="1"/>
    <col min="8707" max="8707" width="8.140625" style="1053" customWidth="1"/>
    <col min="8708" max="8708" width="42.5703125" style="1053" customWidth="1"/>
    <col min="8709" max="8709" width="24.85546875" style="1053" customWidth="1"/>
    <col min="8710" max="8710" width="24.7109375" style="1053" customWidth="1"/>
    <col min="8711" max="8711" width="10" style="1053" customWidth="1"/>
    <col min="8712" max="8716" width="12.42578125" style="1053" customWidth="1"/>
    <col min="8717" max="8717" width="10.5703125" style="1053" customWidth="1"/>
    <col min="8718" max="8718" width="15.28515625" style="1053" customWidth="1"/>
    <col min="8719" max="8719" width="2.42578125" style="1053" customWidth="1"/>
    <col min="8720" max="8960" width="8.85546875" style="1053"/>
    <col min="8961" max="8961" width="18.140625" style="1053" customWidth="1"/>
    <col min="8962" max="8962" width="2.28515625" style="1053" customWidth="1"/>
    <col min="8963" max="8963" width="8.140625" style="1053" customWidth="1"/>
    <col min="8964" max="8964" width="42.5703125" style="1053" customWidth="1"/>
    <col min="8965" max="8965" width="24.85546875" style="1053" customWidth="1"/>
    <col min="8966" max="8966" width="24.7109375" style="1053" customWidth="1"/>
    <col min="8967" max="8967" width="10" style="1053" customWidth="1"/>
    <col min="8968" max="8972" width="12.42578125" style="1053" customWidth="1"/>
    <col min="8973" max="8973" width="10.5703125" style="1053" customWidth="1"/>
    <col min="8974" max="8974" width="15.28515625" style="1053" customWidth="1"/>
    <col min="8975" max="8975" width="2.42578125" style="1053" customWidth="1"/>
    <col min="8976" max="9216" width="8.85546875" style="1053"/>
    <col min="9217" max="9217" width="18.140625" style="1053" customWidth="1"/>
    <col min="9218" max="9218" width="2.28515625" style="1053" customWidth="1"/>
    <col min="9219" max="9219" width="8.140625" style="1053" customWidth="1"/>
    <col min="9220" max="9220" width="42.5703125" style="1053" customWidth="1"/>
    <col min="9221" max="9221" width="24.85546875" style="1053" customWidth="1"/>
    <col min="9222" max="9222" width="24.7109375" style="1053" customWidth="1"/>
    <col min="9223" max="9223" width="10" style="1053" customWidth="1"/>
    <col min="9224" max="9228" width="12.42578125" style="1053" customWidth="1"/>
    <col min="9229" max="9229" width="10.5703125" style="1053" customWidth="1"/>
    <col min="9230" max="9230" width="15.28515625" style="1053" customWidth="1"/>
    <col min="9231" max="9231" width="2.42578125" style="1053" customWidth="1"/>
    <col min="9232" max="9472" width="8.85546875" style="1053"/>
    <col min="9473" max="9473" width="18.140625" style="1053" customWidth="1"/>
    <col min="9474" max="9474" width="2.28515625" style="1053" customWidth="1"/>
    <col min="9475" max="9475" width="8.140625" style="1053" customWidth="1"/>
    <col min="9476" max="9476" width="42.5703125" style="1053" customWidth="1"/>
    <col min="9477" max="9477" width="24.85546875" style="1053" customWidth="1"/>
    <col min="9478" max="9478" width="24.7109375" style="1053" customWidth="1"/>
    <col min="9479" max="9479" width="10" style="1053" customWidth="1"/>
    <col min="9480" max="9484" width="12.42578125" style="1053" customWidth="1"/>
    <col min="9485" max="9485" width="10.5703125" style="1053" customWidth="1"/>
    <col min="9486" max="9486" width="15.28515625" style="1053" customWidth="1"/>
    <col min="9487" max="9487" width="2.42578125" style="1053" customWidth="1"/>
    <col min="9488" max="9728" width="8.85546875" style="1053"/>
    <col min="9729" max="9729" width="18.140625" style="1053" customWidth="1"/>
    <col min="9730" max="9730" width="2.28515625" style="1053" customWidth="1"/>
    <col min="9731" max="9731" width="8.140625" style="1053" customWidth="1"/>
    <col min="9732" max="9732" width="42.5703125" style="1053" customWidth="1"/>
    <col min="9733" max="9733" width="24.85546875" style="1053" customWidth="1"/>
    <col min="9734" max="9734" width="24.7109375" style="1053" customWidth="1"/>
    <col min="9735" max="9735" width="10" style="1053" customWidth="1"/>
    <col min="9736" max="9740" width="12.42578125" style="1053" customWidth="1"/>
    <col min="9741" max="9741" width="10.5703125" style="1053" customWidth="1"/>
    <col min="9742" max="9742" width="15.28515625" style="1053" customWidth="1"/>
    <col min="9743" max="9743" width="2.42578125" style="1053" customWidth="1"/>
    <col min="9744" max="9984" width="8.85546875" style="1053"/>
    <col min="9985" max="9985" width="18.140625" style="1053" customWidth="1"/>
    <col min="9986" max="9986" width="2.28515625" style="1053" customWidth="1"/>
    <col min="9987" max="9987" width="8.140625" style="1053" customWidth="1"/>
    <col min="9988" max="9988" width="42.5703125" style="1053" customWidth="1"/>
    <col min="9989" max="9989" width="24.85546875" style="1053" customWidth="1"/>
    <col min="9990" max="9990" width="24.7109375" style="1053" customWidth="1"/>
    <col min="9991" max="9991" width="10" style="1053" customWidth="1"/>
    <col min="9992" max="9996" width="12.42578125" style="1053" customWidth="1"/>
    <col min="9997" max="9997" width="10.5703125" style="1053" customWidth="1"/>
    <col min="9998" max="9998" width="15.28515625" style="1053" customWidth="1"/>
    <col min="9999" max="9999" width="2.42578125" style="1053" customWidth="1"/>
    <col min="10000" max="10240" width="8.85546875" style="1053"/>
    <col min="10241" max="10241" width="18.140625" style="1053" customWidth="1"/>
    <col min="10242" max="10242" width="2.28515625" style="1053" customWidth="1"/>
    <col min="10243" max="10243" width="8.140625" style="1053" customWidth="1"/>
    <col min="10244" max="10244" width="42.5703125" style="1053" customWidth="1"/>
    <col min="10245" max="10245" width="24.85546875" style="1053" customWidth="1"/>
    <col min="10246" max="10246" width="24.7109375" style="1053" customWidth="1"/>
    <col min="10247" max="10247" width="10" style="1053" customWidth="1"/>
    <col min="10248" max="10252" width="12.42578125" style="1053" customWidth="1"/>
    <col min="10253" max="10253" width="10.5703125" style="1053" customWidth="1"/>
    <col min="10254" max="10254" width="15.28515625" style="1053" customWidth="1"/>
    <col min="10255" max="10255" width="2.42578125" style="1053" customWidth="1"/>
    <col min="10256" max="10496" width="8.85546875" style="1053"/>
    <col min="10497" max="10497" width="18.140625" style="1053" customWidth="1"/>
    <col min="10498" max="10498" width="2.28515625" style="1053" customWidth="1"/>
    <col min="10499" max="10499" width="8.140625" style="1053" customWidth="1"/>
    <col min="10500" max="10500" width="42.5703125" style="1053" customWidth="1"/>
    <col min="10501" max="10501" width="24.85546875" style="1053" customWidth="1"/>
    <col min="10502" max="10502" width="24.7109375" style="1053" customWidth="1"/>
    <col min="10503" max="10503" width="10" style="1053" customWidth="1"/>
    <col min="10504" max="10508" width="12.42578125" style="1053" customWidth="1"/>
    <col min="10509" max="10509" width="10.5703125" style="1053" customWidth="1"/>
    <col min="10510" max="10510" width="15.28515625" style="1053" customWidth="1"/>
    <col min="10511" max="10511" width="2.42578125" style="1053" customWidth="1"/>
    <col min="10512" max="10752" width="8.85546875" style="1053"/>
    <col min="10753" max="10753" width="18.140625" style="1053" customWidth="1"/>
    <col min="10754" max="10754" width="2.28515625" style="1053" customWidth="1"/>
    <col min="10755" max="10755" width="8.140625" style="1053" customWidth="1"/>
    <col min="10756" max="10756" width="42.5703125" style="1053" customWidth="1"/>
    <col min="10757" max="10757" width="24.85546875" style="1053" customWidth="1"/>
    <col min="10758" max="10758" width="24.7109375" style="1053" customWidth="1"/>
    <col min="10759" max="10759" width="10" style="1053" customWidth="1"/>
    <col min="10760" max="10764" width="12.42578125" style="1053" customWidth="1"/>
    <col min="10765" max="10765" width="10.5703125" style="1053" customWidth="1"/>
    <col min="10766" max="10766" width="15.28515625" style="1053" customWidth="1"/>
    <col min="10767" max="10767" width="2.42578125" style="1053" customWidth="1"/>
    <col min="10768" max="11008" width="8.85546875" style="1053"/>
    <col min="11009" max="11009" width="18.140625" style="1053" customWidth="1"/>
    <col min="11010" max="11010" width="2.28515625" style="1053" customWidth="1"/>
    <col min="11011" max="11011" width="8.140625" style="1053" customWidth="1"/>
    <col min="11012" max="11012" width="42.5703125" style="1053" customWidth="1"/>
    <col min="11013" max="11013" width="24.85546875" style="1053" customWidth="1"/>
    <col min="11014" max="11014" width="24.7109375" style="1053" customWidth="1"/>
    <col min="11015" max="11015" width="10" style="1053" customWidth="1"/>
    <col min="11016" max="11020" width="12.42578125" style="1053" customWidth="1"/>
    <col min="11021" max="11021" width="10.5703125" style="1053" customWidth="1"/>
    <col min="11022" max="11022" width="15.28515625" style="1053" customWidth="1"/>
    <col min="11023" max="11023" width="2.42578125" style="1053" customWidth="1"/>
    <col min="11024" max="11264" width="8.85546875" style="1053"/>
    <col min="11265" max="11265" width="18.140625" style="1053" customWidth="1"/>
    <col min="11266" max="11266" width="2.28515625" style="1053" customWidth="1"/>
    <col min="11267" max="11267" width="8.140625" style="1053" customWidth="1"/>
    <col min="11268" max="11268" width="42.5703125" style="1053" customWidth="1"/>
    <col min="11269" max="11269" width="24.85546875" style="1053" customWidth="1"/>
    <col min="11270" max="11270" width="24.7109375" style="1053" customWidth="1"/>
    <col min="11271" max="11271" width="10" style="1053" customWidth="1"/>
    <col min="11272" max="11276" width="12.42578125" style="1053" customWidth="1"/>
    <col min="11277" max="11277" width="10.5703125" style="1053" customWidth="1"/>
    <col min="11278" max="11278" width="15.28515625" style="1053" customWidth="1"/>
    <col min="11279" max="11279" width="2.42578125" style="1053" customWidth="1"/>
    <col min="11280" max="11520" width="8.85546875" style="1053"/>
    <col min="11521" max="11521" width="18.140625" style="1053" customWidth="1"/>
    <col min="11522" max="11522" width="2.28515625" style="1053" customWidth="1"/>
    <col min="11523" max="11523" width="8.140625" style="1053" customWidth="1"/>
    <col min="11524" max="11524" width="42.5703125" style="1053" customWidth="1"/>
    <col min="11525" max="11525" width="24.85546875" style="1053" customWidth="1"/>
    <col min="11526" max="11526" width="24.7109375" style="1053" customWidth="1"/>
    <col min="11527" max="11527" width="10" style="1053" customWidth="1"/>
    <col min="11528" max="11532" width="12.42578125" style="1053" customWidth="1"/>
    <col min="11533" max="11533" width="10.5703125" style="1053" customWidth="1"/>
    <col min="11534" max="11534" width="15.28515625" style="1053" customWidth="1"/>
    <col min="11535" max="11535" width="2.42578125" style="1053" customWidth="1"/>
    <col min="11536" max="11776" width="8.85546875" style="1053"/>
    <col min="11777" max="11777" width="18.140625" style="1053" customWidth="1"/>
    <col min="11778" max="11778" width="2.28515625" style="1053" customWidth="1"/>
    <col min="11779" max="11779" width="8.140625" style="1053" customWidth="1"/>
    <col min="11780" max="11780" width="42.5703125" style="1053" customWidth="1"/>
    <col min="11781" max="11781" width="24.85546875" style="1053" customWidth="1"/>
    <col min="11782" max="11782" width="24.7109375" style="1053" customWidth="1"/>
    <col min="11783" max="11783" width="10" style="1053" customWidth="1"/>
    <col min="11784" max="11788" width="12.42578125" style="1053" customWidth="1"/>
    <col min="11789" max="11789" width="10.5703125" style="1053" customWidth="1"/>
    <col min="11790" max="11790" width="15.28515625" style="1053" customWidth="1"/>
    <col min="11791" max="11791" width="2.42578125" style="1053" customWidth="1"/>
    <col min="11792" max="12032" width="8.85546875" style="1053"/>
    <col min="12033" max="12033" width="18.140625" style="1053" customWidth="1"/>
    <col min="12034" max="12034" width="2.28515625" style="1053" customWidth="1"/>
    <col min="12035" max="12035" width="8.140625" style="1053" customWidth="1"/>
    <col min="12036" max="12036" width="42.5703125" style="1053" customWidth="1"/>
    <col min="12037" max="12037" width="24.85546875" style="1053" customWidth="1"/>
    <col min="12038" max="12038" width="24.7109375" style="1053" customWidth="1"/>
    <col min="12039" max="12039" width="10" style="1053" customWidth="1"/>
    <col min="12040" max="12044" width="12.42578125" style="1053" customWidth="1"/>
    <col min="12045" max="12045" width="10.5703125" style="1053" customWidth="1"/>
    <col min="12046" max="12046" width="15.28515625" style="1053" customWidth="1"/>
    <col min="12047" max="12047" width="2.42578125" style="1053" customWidth="1"/>
    <col min="12048" max="12288" width="8.85546875" style="1053"/>
    <col min="12289" max="12289" width="18.140625" style="1053" customWidth="1"/>
    <col min="12290" max="12290" width="2.28515625" style="1053" customWidth="1"/>
    <col min="12291" max="12291" width="8.140625" style="1053" customWidth="1"/>
    <col min="12292" max="12292" width="42.5703125" style="1053" customWidth="1"/>
    <col min="12293" max="12293" width="24.85546875" style="1053" customWidth="1"/>
    <col min="12294" max="12294" width="24.7109375" style="1053" customWidth="1"/>
    <col min="12295" max="12295" width="10" style="1053" customWidth="1"/>
    <col min="12296" max="12300" width="12.42578125" style="1053" customWidth="1"/>
    <col min="12301" max="12301" width="10.5703125" style="1053" customWidth="1"/>
    <col min="12302" max="12302" width="15.28515625" style="1053" customWidth="1"/>
    <col min="12303" max="12303" width="2.42578125" style="1053" customWidth="1"/>
    <col min="12304" max="12544" width="8.85546875" style="1053"/>
    <col min="12545" max="12545" width="18.140625" style="1053" customWidth="1"/>
    <col min="12546" max="12546" width="2.28515625" style="1053" customWidth="1"/>
    <col min="12547" max="12547" width="8.140625" style="1053" customWidth="1"/>
    <col min="12548" max="12548" width="42.5703125" style="1053" customWidth="1"/>
    <col min="12549" max="12549" width="24.85546875" style="1053" customWidth="1"/>
    <col min="12550" max="12550" width="24.7109375" style="1053" customWidth="1"/>
    <col min="12551" max="12551" width="10" style="1053" customWidth="1"/>
    <col min="12552" max="12556" width="12.42578125" style="1053" customWidth="1"/>
    <col min="12557" max="12557" width="10.5703125" style="1053" customWidth="1"/>
    <col min="12558" max="12558" width="15.28515625" style="1053" customWidth="1"/>
    <col min="12559" max="12559" width="2.42578125" style="1053" customWidth="1"/>
    <col min="12560" max="12800" width="8.85546875" style="1053"/>
    <col min="12801" max="12801" width="18.140625" style="1053" customWidth="1"/>
    <col min="12802" max="12802" width="2.28515625" style="1053" customWidth="1"/>
    <col min="12803" max="12803" width="8.140625" style="1053" customWidth="1"/>
    <col min="12804" max="12804" width="42.5703125" style="1053" customWidth="1"/>
    <col min="12805" max="12805" width="24.85546875" style="1053" customWidth="1"/>
    <col min="12806" max="12806" width="24.7109375" style="1053" customWidth="1"/>
    <col min="12807" max="12807" width="10" style="1053" customWidth="1"/>
    <col min="12808" max="12812" width="12.42578125" style="1053" customWidth="1"/>
    <col min="12813" max="12813" width="10.5703125" style="1053" customWidth="1"/>
    <col min="12814" max="12814" width="15.28515625" style="1053" customWidth="1"/>
    <col min="12815" max="12815" width="2.42578125" style="1053" customWidth="1"/>
    <col min="12816" max="13056" width="8.85546875" style="1053"/>
    <col min="13057" max="13057" width="18.140625" style="1053" customWidth="1"/>
    <col min="13058" max="13058" width="2.28515625" style="1053" customWidth="1"/>
    <col min="13059" max="13059" width="8.140625" style="1053" customWidth="1"/>
    <col min="13060" max="13060" width="42.5703125" style="1053" customWidth="1"/>
    <col min="13061" max="13061" width="24.85546875" style="1053" customWidth="1"/>
    <col min="13062" max="13062" width="24.7109375" style="1053" customWidth="1"/>
    <col min="13063" max="13063" width="10" style="1053" customWidth="1"/>
    <col min="13064" max="13068" width="12.42578125" style="1053" customWidth="1"/>
    <col min="13069" max="13069" width="10.5703125" style="1053" customWidth="1"/>
    <col min="13070" max="13070" width="15.28515625" style="1053" customWidth="1"/>
    <col min="13071" max="13071" width="2.42578125" style="1053" customWidth="1"/>
    <col min="13072" max="13312" width="8.85546875" style="1053"/>
    <col min="13313" max="13313" width="18.140625" style="1053" customWidth="1"/>
    <col min="13314" max="13314" width="2.28515625" style="1053" customWidth="1"/>
    <col min="13315" max="13315" width="8.140625" style="1053" customWidth="1"/>
    <col min="13316" max="13316" width="42.5703125" style="1053" customWidth="1"/>
    <col min="13317" max="13317" width="24.85546875" style="1053" customWidth="1"/>
    <col min="13318" max="13318" width="24.7109375" style="1053" customWidth="1"/>
    <col min="13319" max="13319" width="10" style="1053" customWidth="1"/>
    <col min="13320" max="13324" width="12.42578125" style="1053" customWidth="1"/>
    <col min="13325" max="13325" width="10.5703125" style="1053" customWidth="1"/>
    <col min="13326" max="13326" width="15.28515625" style="1053" customWidth="1"/>
    <col min="13327" max="13327" width="2.42578125" style="1053" customWidth="1"/>
    <col min="13328" max="13568" width="8.85546875" style="1053"/>
    <col min="13569" max="13569" width="18.140625" style="1053" customWidth="1"/>
    <col min="13570" max="13570" width="2.28515625" style="1053" customWidth="1"/>
    <col min="13571" max="13571" width="8.140625" style="1053" customWidth="1"/>
    <col min="13572" max="13572" width="42.5703125" style="1053" customWidth="1"/>
    <col min="13573" max="13573" width="24.85546875" style="1053" customWidth="1"/>
    <col min="13574" max="13574" width="24.7109375" style="1053" customWidth="1"/>
    <col min="13575" max="13575" width="10" style="1053" customWidth="1"/>
    <col min="13576" max="13580" width="12.42578125" style="1053" customWidth="1"/>
    <col min="13581" max="13581" width="10.5703125" style="1053" customWidth="1"/>
    <col min="13582" max="13582" width="15.28515625" style="1053" customWidth="1"/>
    <col min="13583" max="13583" width="2.42578125" style="1053" customWidth="1"/>
    <col min="13584" max="13824" width="8.85546875" style="1053"/>
    <col min="13825" max="13825" width="18.140625" style="1053" customWidth="1"/>
    <col min="13826" max="13826" width="2.28515625" style="1053" customWidth="1"/>
    <col min="13827" max="13827" width="8.140625" style="1053" customWidth="1"/>
    <col min="13828" max="13828" width="42.5703125" style="1053" customWidth="1"/>
    <col min="13829" max="13829" width="24.85546875" style="1053" customWidth="1"/>
    <col min="13830" max="13830" width="24.7109375" style="1053" customWidth="1"/>
    <col min="13831" max="13831" width="10" style="1053" customWidth="1"/>
    <col min="13832" max="13836" width="12.42578125" style="1053" customWidth="1"/>
    <col min="13837" max="13837" width="10.5703125" style="1053" customWidth="1"/>
    <col min="13838" max="13838" width="15.28515625" style="1053" customWidth="1"/>
    <col min="13839" max="13839" width="2.42578125" style="1053" customWidth="1"/>
    <col min="13840" max="14080" width="8.85546875" style="1053"/>
    <col min="14081" max="14081" width="18.140625" style="1053" customWidth="1"/>
    <col min="14082" max="14082" width="2.28515625" style="1053" customWidth="1"/>
    <col min="14083" max="14083" width="8.140625" style="1053" customWidth="1"/>
    <col min="14084" max="14084" width="42.5703125" style="1053" customWidth="1"/>
    <col min="14085" max="14085" width="24.85546875" style="1053" customWidth="1"/>
    <col min="14086" max="14086" width="24.7109375" style="1053" customWidth="1"/>
    <col min="14087" max="14087" width="10" style="1053" customWidth="1"/>
    <col min="14088" max="14092" width="12.42578125" style="1053" customWidth="1"/>
    <col min="14093" max="14093" width="10.5703125" style="1053" customWidth="1"/>
    <col min="14094" max="14094" width="15.28515625" style="1053" customWidth="1"/>
    <col min="14095" max="14095" width="2.42578125" style="1053" customWidth="1"/>
    <col min="14096" max="14336" width="8.85546875" style="1053"/>
    <col min="14337" max="14337" width="18.140625" style="1053" customWidth="1"/>
    <col min="14338" max="14338" width="2.28515625" style="1053" customWidth="1"/>
    <col min="14339" max="14339" width="8.140625" style="1053" customWidth="1"/>
    <col min="14340" max="14340" width="42.5703125" style="1053" customWidth="1"/>
    <col min="14341" max="14341" width="24.85546875" style="1053" customWidth="1"/>
    <col min="14342" max="14342" width="24.7109375" style="1053" customWidth="1"/>
    <col min="14343" max="14343" width="10" style="1053" customWidth="1"/>
    <col min="14344" max="14348" width="12.42578125" style="1053" customWidth="1"/>
    <col min="14349" max="14349" width="10.5703125" style="1053" customWidth="1"/>
    <col min="14350" max="14350" width="15.28515625" style="1053" customWidth="1"/>
    <col min="14351" max="14351" width="2.42578125" style="1053" customWidth="1"/>
    <col min="14352" max="14592" width="8.85546875" style="1053"/>
    <col min="14593" max="14593" width="18.140625" style="1053" customWidth="1"/>
    <col min="14594" max="14594" width="2.28515625" style="1053" customWidth="1"/>
    <col min="14595" max="14595" width="8.140625" style="1053" customWidth="1"/>
    <col min="14596" max="14596" width="42.5703125" style="1053" customWidth="1"/>
    <col min="14597" max="14597" width="24.85546875" style="1053" customWidth="1"/>
    <col min="14598" max="14598" width="24.7109375" style="1053" customWidth="1"/>
    <col min="14599" max="14599" width="10" style="1053" customWidth="1"/>
    <col min="14600" max="14604" width="12.42578125" style="1053" customWidth="1"/>
    <col min="14605" max="14605" width="10.5703125" style="1053" customWidth="1"/>
    <col min="14606" max="14606" width="15.28515625" style="1053" customWidth="1"/>
    <col min="14607" max="14607" width="2.42578125" style="1053" customWidth="1"/>
    <col min="14608" max="14848" width="8.85546875" style="1053"/>
    <col min="14849" max="14849" width="18.140625" style="1053" customWidth="1"/>
    <col min="14850" max="14850" width="2.28515625" style="1053" customWidth="1"/>
    <col min="14851" max="14851" width="8.140625" style="1053" customWidth="1"/>
    <col min="14852" max="14852" width="42.5703125" style="1053" customWidth="1"/>
    <col min="14853" max="14853" width="24.85546875" style="1053" customWidth="1"/>
    <col min="14854" max="14854" width="24.7109375" style="1053" customWidth="1"/>
    <col min="14855" max="14855" width="10" style="1053" customWidth="1"/>
    <col min="14856" max="14860" width="12.42578125" style="1053" customWidth="1"/>
    <col min="14861" max="14861" width="10.5703125" style="1053" customWidth="1"/>
    <col min="14862" max="14862" width="15.28515625" style="1053" customWidth="1"/>
    <col min="14863" max="14863" width="2.42578125" style="1053" customWidth="1"/>
    <col min="14864" max="15104" width="8.85546875" style="1053"/>
    <col min="15105" max="15105" width="18.140625" style="1053" customWidth="1"/>
    <col min="15106" max="15106" width="2.28515625" style="1053" customWidth="1"/>
    <col min="15107" max="15107" width="8.140625" style="1053" customWidth="1"/>
    <col min="15108" max="15108" width="42.5703125" style="1053" customWidth="1"/>
    <col min="15109" max="15109" width="24.85546875" style="1053" customWidth="1"/>
    <col min="15110" max="15110" width="24.7109375" style="1053" customWidth="1"/>
    <col min="15111" max="15111" width="10" style="1053" customWidth="1"/>
    <col min="15112" max="15116" width="12.42578125" style="1053" customWidth="1"/>
    <col min="15117" max="15117" width="10.5703125" style="1053" customWidth="1"/>
    <col min="15118" max="15118" width="15.28515625" style="1053" customWidth="1"/>
    <col min="15119" max="15119" width="2.42578125" style="1053" customWidth="1"/>
    <col min="15120" max="15360" width="8.85546875" style="1053"/>
    <col min="15361" max="15361" width="18.140625" style="1053" customWidth="1"/>
    <col min="15362" max="15362" width="2.28515625" style="1053" customWidth="1"/>
    <col min="15363" max="15363" width="8.140625" style="1053" customWidth="1"/>
    <col min="15364" max="15364" width="42.5703125" style="1053" customWidth="1"/>
    <col min="15365" max="15365" width="24.85546875" style="1053" customWidth="1"/>
    <col min="15366" max="15366" width="24.7109375" style="1053" customWidth="1"/>
    <col min="15367" max="15367" width="10" style="1053" customWidth="1"/>
    <col min="15368" max="15372" width="12.42578125" style="1053" customWidth="1"/>
    <col min="15373" max="15373" width="10.5703125" style="1053" customWidth="1"/>
    <col min="15374" max="15374" width="15.28515625" style="1053" customWidth="1"/>
    <col min="15375" max="15375" width="2.42578125" style="1053" customWidth="1"/>
    <col min="15376" max="15616" width="8.85546875" style="1053"/>
    <col min="15617" max="15617" width="18.140625" style="1053" customWidth="1"/>
    <col min="15618" max="15618" width="2.28515625" style="1053" customWidth="1"/>
    <col min="15619" max="15619" width="8.140625" style="1053" customWidth="1"/>
    <col min="15620" max="15620" width="42.5703125" style="1053" customWidth="1"/>
    <col min="15621" max="15621" width="24.85546875" style="1053" customWidth="1"/>
    <col min="15622" max="15622" width="24.7109375" style="1053" customWidth="1"/>
    <col min="15623" max="15623" width="10" style="1053" customWidth="1"/>
    <col min="15624" max="15628" width="12.42578125" style="1053" customWidth="1"/>
    <col min="15629" max="15629" width="10.5703125" style="1053" customWidth="1"/>
    <col min="15630" max="15630" width="15.28515625" style="1053" customWidth="1"/>
    <col min="15631" max="15631" width="2.42578125" style="1053" customWidth="1"/>
    <col min="15632" max="15872" width="8.85546875" style="1053"/>
    <col min="15873" max="15873" width="18.140625" style="1053" customWidth="1"/>
    <col min="15874" max="15874" width="2.28515625" style="1053" customWidth="1"/>
    <col min="15875" max="15875" width="8.140625" style="1053" customWidth="1"/>
    <col min="15876" max="15876" width="42.5703125" style="1053" customWidth="1"/>
    <col min="15877" max="15877" width="24.85546875" style="1053" customWidth="1"/>
    <col min="15878" max="15878" width="24.7109375" style="1053" customWidth="1"/>
    <col min="15879" max="15879" width="10" style="1053" customWidth="1"/>
    <col min="15880" max="15884" width="12.42578125" style="1053" customWidth="1"/>
    <col min="15885" max="15885" width="10.5703125" style="1053" customWidth="1"/>
    <col min="15886" max="15886" width="15.28515625" style="1053" customWidth="1"/>
    <col min="15887" max="15887" width="2.42578125" style="1053" customWidth="1"/>
    <col min="15888" max="16128" width="8.85546875" style="1053"/>
    <col min="16129" max="16129" width="18.140625" style="1053" customWidth="1"/>
    <col min="16130" max="16130" width="2.28515625" style="1053" customWidth="1"/>
    <col min="16131" max="16131" width="8.140625" style="1053" customWidth="1"/>
    <col min="16132" max="16132" width="42.5703125" style="1053" customWidth="1"/>
    <col min="16133" max="16133" width="24.85546875" style="1053" customWidth="1"/>
    <col min="16134" max="16134" width="24.7109375" style="1053" customWidth="1"/>
    <col min="16135" max="16135" width="10" style="1053" customWidth="1"/>
    <col min="16136" max="16140" width="12.42578125" style="1053" customWidth="1"/>
    <col min="16141" max="16141" width="10.5703125" style="1053" customWidth="1"/>
    <col min="16142" max="16142" width="15.28515625" style="1053" customWidth="1"/>
    <col min="16143" max="16143" width="2.42578125" style="1053" customWidth="1"/>
    <col min="16144" max="16384" width="8.85546875" style="1053"/>
  </cols>
  <sheetData>
    <row r="1" spans="2:14" ht="20.100000000000001" customHeight="1" x14ac:dyDescent="0.25">
      <c r="C1" s="1287" t="s">
        <v>0</v>
      </c>
      <c r="D1" s="1288"/>
      <c r="E1" s="1288"/>
      <c r="F1" s="1288"/>
      <c r="G1" s="1288"/>
      <c r="H1" s="1288"/>
      <c r="I1" s="1288"/>
      <c r="J1" s="1288"/>
      <c r="K1" s="1288"/>
      <c r="L1" s="1288"/>
      <c r="M1" s="1288"/>
      <c r="N1" s="1289"/>
    </row>
    <row r="2" spans="2:14" ht="20.100000000000001" customHeight="1" x14ac:dyDescent="0.25">
      <c r="C2" s="1290" t="s">
        <v>1</v>
      </c>
      <c r="D2" s="1291"/>
      <c r="E2" s="1291"/>
      <c r="F2" s="1291"/>
      <c r="G2" s="1291"/>
      <c r="H2" s="1291"/>
      <c r="I2" s="1291"/>
      <c r="J2" s="1291"/>
      <c r="K2" s="1291"/>
      <c r="L2" s="1291"/>
      <c r="M2" s="1291"/>
      <c r="N2" s="1292"/>
    </row>
    <row r="3" spans="2:14" ht="20.100000000000001" customHeight="1" x14ac:dyDescent="0.25">
      <c r="C3" s="1290" t="s">
        <v>4562</v>
      </c>
      <c r="D3" s="1291"/>
      <c r="E3" s="1291"/>
      <c r="F3" s="1291"/>
      <c r="G3" s="1291"/>
      <c r="H3" s="1291"/>
      <c r="I3" s="1291"/>
      <c r="J3" s="1291"/>
      <c r="K3" s="1291"/>
      <c r="L3" s="1291"/>
      <c r="M3" s="1291"/>
      <c r="N3" s="1292"/>
    </row>
    <row r="4" spans="2:14" ht="15" customHeight="1" x14ac:dyDescent="0.25">
      <c r="C4" s="1293"/>
      <c r="D4" s="1294"/>
      <c r="E4" s="1294"/>
      <c r="F4" s="1294"/>
      <c r="G4" s="1294"/>
      <c r="H4" s="1294"/>
      <c r="I4" s="1294"/>
      <c r="J4" s="1294"/>
      <c r="K4" s="1294"/>
      <c r="L4" s="1294"/>
      <c r="M4" s="1294"/>
      <c r="N4" s="1295"/>
    </row>
    <row r="5" spans="2:14" ht="18.75" x14ac:dyDescent="0.25">
      <c r="C5" s="1296" t="s">
        <v>3</v>
      </c>
      <c r="D5" s="1297"/>
      <c r="E5" s="1297"/>
      <c r="F5" s="1297"/>
      <c r="G5" s="1297"/>
      <c r="H5" s="1297"/>
      <c r="I5" s="1297"/>
      <c r="J5" s="1297"/>
      <c r="K5" s="1297"/>
      <c r="L5" s="1297"/>
      <c r="M5" s="1297"/>
      <c r="N5" s="1298"/>
    </row>
    <row r="6" spans="2:14" ht="18.75" customHeight="1" x14ac:dyDescent="0.25">
      <c r="C6" s="1113" t="s">
        <v>4559</v>
      </c>
      <c r="D6" s="1114"/>
      <c r="E6" s="1114"/>
      <c r="F6" s="1115"/>
      <c r="G6" s="1114"/>
      <c r="H6" s="1118"/>
      <c r="I6" s="1114"/>
      <c r="J6" s="1114"/>
      <c r="K6" s="1114"/>
      <c r="L6" s="1114"/>
      <c r="M6" s="1300" t="s">
        <v>4523</v>
      </c>
      <c r="N6" s="1301"/>
    </row>
    <row r="7" spans="2:14" ht="18.75" x14ac:dyDescent="0.25">
      <c r="C7" s="1116"/>
      <c r="D7" s="1117"/>
      <c r="E7" s="1117"/>
      <c r="F7" s="1117"/>
      <c r="G7" s="1117"/>
      <c r="H7" s="1117"/>
      <c r="I7" s="1117"/>
      <c r="J7" s="1117"/>
      <c r="K7" s="1117"/>
      <c r="L7" s="1117"/>
      <c r="M7" s="1302"/>
      <c r="N7" s="1303"/>
    </row>
    <row r="8" spans="2:14" ht="12.95" customHeight="1" x14ac:dyDescent="0.25">
      <c r="C8" s="1054"/>
      <c r="D8" s="962"/>
      <c r="E8" s="1055"/>
      <c r="F8" s="1055"/>
      <c r="G8" s="1055"/>
      <c r="H8" s="1055"/>
      <c r="I8" s="1055"/>
      <c r="J8" s="1055"/>
      <c r="K8" s="1055"/>
      <c r="L8" s="1055"/>
      <c r="M8" s="1055"/>
      <c r="N8" s="1056"/>
    </row>
    <row r="9" spans="2:14" ht="39.75" customHeight="1" thickBot="1" x14ac:dyDescent="0.3">
      <c r="B9" s="1081"/>
      <c r="C9" s="1304" t="s">
        <v>6</v>
      </c>
      <c r="D9" s="1307" t="s">
        <v>7</v>
      </c>
      <c r="E9" s="1310" t="s">
        <v>8</v>
      </c>
      <c r="F9" s="1311"/>
      <c r="G9" s="1311"/>
      <c r="H9" s="1310" t="s">
        <v>9</v>
      </c>
      <c r="I9" s="1311"/>
      <c r="J9" s="1312"/>
      <c r="K9" s="1311" t="s">
        <v>10</v>
      </c>
      <c r="L9" s="1311"/>
      <c r="M9" s="1312"/>
      <c r="N9" s="1313" t="s">
        <v>11</v>
      </c>
    </row>
    <row r="10" spans="2:14" s="903" customFormat="1" ht="63" customHeight="1" thickBot="1" x14ac:dyDescent="0.3">
      <c r="B10" s="902"/>
      <c r="C10" s="1305"/>
      <c r="D10" s="1308"/>
      <c r="E10" s="1316" t="s">
        <v>12</v>
      </c>
      <c r="F10" s="1057"/>
      <c r="G10" s="1316" t="s">
        <v>13</v>
      </c>
      <c r="H10" s="1319" t="s">
        <v>14</v>
      </c>
      <c r="I10" s="1317" t="s">
        <v>15</v>
      </c>
      <c r="J10" s="1319" t="s">
        <v>16</v>
      </c>
      <c r="K10" s="1317" t="s">
        <v>17</v>
      </c>
      <c r="L10" s="1319" t="s">
        <v>15</v>
      </c>
      <c r="M10" s="1317" t="s">
        <v>16</v>
      </c>
      <c r="N10" s="1314"/>
    </row>
    <row r="11" spans="2:14" s="903" customFormat="1" ht="64.5" customHeight="1" x14ac:dyDescent="0.25">
      <c r="B11" s="902"/>
      <c r="C11" s="1306"/>
      <c r="D11" s="1309"/>
      <c r="E11" s="1317"/>
      <c r="F11" s="1058"/>
      <c r="G11" s="1318"/>
      <c r="H11" s="1319"/>
      <c r="I11" s="1317"/>
      <c r="J11" s="1319"/>
      <c r="K11" s="1317"/>
      <c r="L11" s="1319"/>
      <c r="M11" s="1317"/>
      <c r="N11" s="1315"/>
    </row>
    <row r="12" spans="2:14" s="1060" customFormat="1" ht="20.100000000000001" customHeight="1" x14ac:dyDescent="0.25">
      <c r="B12" s="1059"/>
      <c r="C12" s="1092" t="s">
        <v>18</v>
      </c>
      <c r="D12" s="994" t="s">
        <v>19</v>
      </c>
      <c r="E12" s="1093" t="s">
        <v>20</v>
      </c>
      <c r="F12" s="1093"/>
      <c r="G12" s="1093" t="s">
        <v>21</v>
      </c>
      <c r="H12" s="1094" t="s">
        <v>22</v>
      </c>
      <c r="I12" s="1093" t="s">
        <v>23</v>
      </c>
      <c r="J12" s="1094" t="s">
        <v>24</v>
      </c>
      <c r="K12" s="1093" t="s">
        <v>25</v>
      </c>
      <c r="L12" s="1094" t="s">
        <v>26</v>
      </c>
      <c r="M12" s="1093" t="s">
        <v>27</v>
      </c>
      <c r="N12" s="1095" t="s">
        <v>28</v>
      </c>
    </row>
    <row r="13" spans="2:14" ht="4.5" customHeight="1" x14ac:dyDescent="0.25">
      <c r="B13" s="1081"/>
      <c r="C13" s="1061"/>
      <c r="D13" s="1062"/>
      <c r="E13" s="1063"/>
      <c r="F13" s="1063"/>
      <c r="G13" s="1063"/>
      <c r="H13" s="1064"/>
      <c r="I13" s="1063"/>
      <c r="J13" s="1064"/>
      <c r="K13" s="1063"/>
      <c r="L13" s="1064"/>
      <c r="M13" s="1063"/>
      <c r="N13" s="1065"/>
    </row>
    <row r="14" spans="2:14" ht="17.100000000000001" customHeight="1" x14ac:dyDescent="0.25">
      <c r="B14" s="1081"/>
      <c r="C14" s="1066"/>
      <c r="D14" s="1067"/>
      <c r="E14" s="1068"/>
      <c r="F14" s="1070"/>
      <c r="G14" s="1068"/>
      <c r="H14" s="1072"/>
      <c r="I14" s="1068"/>
      <c r="J14" s="1072"/>
      <c r="K14" s="1068"/>
      <c r="L14" s="1072"/>
      <c r="M14" s="1068"/>
      <c r="N14" s="1073"/>
    </row>
    <row r="15" spans="2:14" s="1085" customFormat="1" ht="27" customHeight="1" x14ac:dyDescent="0.25">
      <c r="B15" s="1082"/>
      <c r="C15" s="1096" t="s">
        <v>29</v>
      </c>
      <c r="D15" s="943" t="s">
        <v>30</v>
      </c>
      <c r="E15" s="1124">
        <f>+A.4!E15</f>
        <v>389351314600</v>
      </c>
      <c r="F15" s="1069">
        <v>5850230158000</v>
      </c>
      <c r="G15" s="1069">
        <f>E15/F15*100</f>
        <v>6.6553161855961287</v>
      </c>
      <c r="H15" s="1083"/>
      <c r="I15" s="1069"/>
      <c r="J15" s="1083"/>
      <c r="K15" s="1069"/>
      <c r="L15" s="1083"/>
      <c r="M15" s="1069"/>
      <c r="N15" s="1084"/>
    </row>
    <row r="16" spans="2:14" s="1085" customFormat="1" ht="27" customHeight="1" x14ac:dyDescent="0.25">
      <c r="B16" s="1082"/>
      <c r="C16" s="1096" t="s">
        <v>31</v>
      </c>
      <c r="D16" s="943" t="s">
        <v>32</v>
      </c>
      <c r="E16" s="1124">
        <f>SUM(E17:E45)</f>
        <v>1557405258400.0002</v>
      </c>
      <c r="F16" s="1069">
        <v>5850230158000</v>
      </c>
      <c r="G16" s="1069">
        <f t="shared" ref="G16:G51" si="0">E16/F16*100</f>
        <v>26.621264742384522</v>
      </c>
      <c r="H16" s="1083"/>
      <c r="I16" s="1069"/>
      <c r="J16" s="1083"/>
      <c r="K16" s="1069"/>
      <c r="L16" s="1083"/>
      <c r="M16" s="1069"/>
      <c r="N16" s="1084"/>
    </row>
    <row r="17" spans="2:14" ht="27" customHeight="1" x14ac:dyDescent="0.25">
      <c r="B17" s="1081"/>
      <c r="C17" s="1098"/>
      <c r="D17" s="1099" t="s">
        <v>33</v>
      </c>
      <c r="E17" s="1125">
        <v>48495887123.160004</v>
      </c>
      <c r="F17" s="1069">
        <v>5850230158000</v>
      </c>
      <c r="G17" s="1068">
        <f t="shared" si="0"/>
        <v>0.8289569096156576</v>
      </c>
      <c r="H17" s="1072"/>
      <c r="I17" s="1068"/>
      <c r="J17" s="1072"/>
      <c r="K17" s="1068"/>
      <c r="L17" s="1072"/>
      <c r="M17" s="1068"/>
      <c r="N17" s="1073"/>
    </row>
    <row r="18" spans="2:14" ht="27" customHeight="1" x14ac:dyDescent="0.25">
      <c r="B18" s="1081"/>
      <c r="C18" s="1098"/>
      <c r="D18" s="1099" t="s">
        <v>34</v>
      </c>
      <c r="E18" s="1125">
        <v>51356987511.629997</v>
      </c>
      <c r="F18" s="1069">
        <v>5850230158000</v>
      </c>
      <c r="G18" s="1068">
        <f t="shared" si="0"/>
        <v>0.87786268445184135</v>
      </c>
      <c r="H18" s="1072"/>
      <c r="I18" s="1068"/>
      <c r="J18" s="1072"/>
      <c r="K18" s="1068"/>
      <c r="L18" s="1072"/>
      <c r="M18" s="1068"/>
      <c r="N18" s="1073"/>
    </row>
    <row r="19" spans="2:14" ht="27" customHeight="1" x14ac:dyDescent="0.25">
      <c r="B19" s="1081"/>
      <c r="C19" s="1098"/>
      <c r="D19" s="1099" t="s">
        <v>35</v>
      </c>
      <c r="E19" s="1125">
        <v>46073463891.389999</v>
      </c>
      <c r="F19" s="1069">
        <v>5850230158000</v>
      </c>
      <c r="G19" s="1068">
        <f t="shared" si="0"/>
        <v>0.78754959458109575</v>
      </c>
      <c r="H19" s="1072"/>
      <c r="I19" s="1068"/>
      <c r="J19" s="1072"/>
      <c r="K19" s="1068"/>
      <c r="L19" s="1072"/>
      <c r="M19" s="1068"/>
      <c r="N19" s="1073"/>
    </row>
    <row r="20" spans="2:14" ht="27" customHeight="1" x14ac:dyDescent="0.25">
      <c r="B20" s="1081"/>
      <c r="C20" s="1098"/>
      <c r="D20" s="1099" t="s">
        <v>36</v>
      </c>
      <c r="E20" s="1125">
        <v>45756973242.93</v>
      </c>
      <c r="F20" s="1069">
        <v>5850230158000</v>
      </c>
      <c r="G20" s="1068">
        <f t="shared" si="0"/>
        <v>0.78213971086861978</v>
      </c>
      <c r="H20" s="1072"/>
      <c r="I20" s="1068"/>
      <c r="J20" s="1072"/>
      <c r="K20" s="1068"/>
      <c r="L20" s="1072"/>
      <c r="M20" s="1068"/>
      <c r="N20" s="1073"/>
    </row>
    <row r="21" spans="2:14" ht="27" customHeight="1" x14ac:dyDescent="0.25">
      <c r="B21" s="1081"/>
      <c r="C21" s="1098"/>
      <c r="D21" s="1099" t="s">
        <v>37</v>
      </c>
      <c r="E21" s="1125">
        <v>45992775230.57</v>
      </c>
      <c r="F21" s="1069">
        <v>5850230158000</v>
      </c>
      <c r="G21" s="1068">
        <f t="shared" si="0"/>
        <v>0.78617035549749059</v>
      </c>
      <c r="H21" s="1072"/>
      <c r="I21" s="1068"/>
      <c r="J21" s="1072"/>
      <c r="K21" s="1068"/>
      <c r="L21" s="1072"/>
      <c r="M21" s="1068"/>
      <c r="N21" s="1073"/>
    </row>
    <row r="22" spans="2:14" ht="27" customHeight="1" x14ac:dyDescent="0.25">
      <c r="B22" s="1081"/>
      <c r="C22" s="1098"/>
      <c r="D22" s="1099" t="s">
        <v>38</v>
      </c>
      <c r="E22" s="1125">
        <v>32258636567.290001</v>
      </c>
      <c r="F22" s="1069">
        <v>5850230158000</v>
      </c>
      <c r="G22" s="1068">
        <f t="shared" si="0"/>
        <v>0.55140799072968716</v>
      </c>
      <c r="H22" s="1072"/>
      <c r="I22" s="1068"/>
      <c r="J22" s="1072"/>
      <c r="K22" s="1068"/>
      <c r="L22" s="1072"/>
      <c r="M22" s="1068"/>
      <c r="N22" s="1073"/>
    </row>
    <row r="23" spans="2:14" ht="27" customHeight="1" x14ac:dyDescent="0.25">
      <c r="B23" s="1081"/>
      <c r="C23" s="1098"/>
      <c r="D23" s="1099" t="s">
        <v>39</v>
      </c>
      <c r="E23" s="1125">
        <v>64189783336.760002</v>
      </c>
      <c r="F23" s="1069">
        <v>5850230158000</v>
      </c>
      <c r="G23" s="1068">
        <f t="shared" si="0"/>
        <v>1.0972180854967313</v>
      </c>
      <c r="H23" s="1072"/>
      <c r="I23" s="1068"/>
      <c r="J23" s="1072"/>
      <c r="K23" s="1068"/>
      <c r="L23" s="1072"/>
      <c r="M23" s="1068"/>
      <c r="N23" s="1073"/>
    </row>
    <row r="24" spans="2:14" ht="27" customHeight="1" x14ac:dyDescent="0.25">
      <c r="B24" s="1081"/>
      <c r="C24" s="1101"/>
      <c r="D24" s="868" t="s">
        <v>40</v>
      </c>
      <c r="E24" s="1126">
        <v>64622624148.519997</v>
      </c>
      <c r="F24" s="1069">
        <v>5850230158000</v>
      </c>
      <c r="G24" s="1068">
        <f t="shared" si="0"/>
        <v>1.1046167826431692</v>
      </c>
      <c r="H24" s="1072"/>
      <c r="I24" s="1068"/>
      <c r="J24" s="1072"/>
      <c r="K24" s="1068"/>
      <c r="L24" s="1072"/>
      <c r="M24" s="1068"/>
      <c r="N24" s="1073"/>
    </row>
    <row r="25" spans="2:14" ht="27" customHeight="1" x14ac:dyDescent="0.25">
      <c r="B25" s="1081"/>
      <c r="C25" s="1098"/>
      <c r="D25" s="1099" t="s">
        <v>41</v>
      </c>
      <c r="E25" s="1125">
        <v>31309836558.849998</v>
      </c>
      <c r="F25" s="1069">
        <v>5850230158000</v>
      </c>
      <c r="G25" s="1068">
        <f t="shared" si="0"/>
        <v>0.53518982524191483</v>
      </c>
      <c r="H25" s="1072"/>
      <c r="I25" s="1068"/>
      <c r="J25" s="1072"/>
      <c r="K25" s="1068"/>
      <c r="L25" s="1072"/>
      <c r="M25" s="1068"/>
      <c r="N25" s="1073"/>
    </row>
    <row r="26" spans="2:14" ht="27" customHeight="1" x14ac:dyDescent="0.25">
      <c r="B26" s="1081"/>
      <c r="C26" s="1098"/>
      <c r="D26" s="1099" t="s">
        <v>42</v>
      </c>
      <c r="E26" s="1125">
        <v>59981998273.220001</v>
      </c>
      <c r="F26" s="1069">
        <v>5850230158000</v>
      </c>
      <c r="G26" s="1068">
        <f t="shared" si="0"/>
        <v>1.0252929654604539</v>
      </c>
      <c r="H26" s="1072"/>
      <c r="I26" s="1068"/>
      <c r="J26" s="1072"/>
      <c r="K26" s="1068"/>
      <c r="L26" s="1072"/>
      <c r="M26" s="1068"/>
      <c r="N26" s="1073"/>
    </row>
    <row r="27" spans="2:14" ht="27" customHeight="1" x14ac:dyDescent="0.25">
      <c r="B27" s="1081"/>
      <c r="C27" s="1098"/>
      <c r="D27" s="1099" t="s">
        <v>43</v>
      </c>
      <c r="E27" s="1125">
        <v>61685777431.099998</v>
      </c>
      <c r="F27" s="1069">
        <v>5850230158000</v>
      </c>
      <c r="G27" s="1068">
        <f t="shared" si="0"/>
        <v>1.0544162497050942</v>
      </c>
      <c r="H27" s="1072"/>
      <c r="I27" s="1068"/>
      <c r="J27" s="1072"/>
      <c r="K27" s="1068"/>
      <c r="L27" s="1072"/>
      <c r="M27" s="1068"/>
      <c r="N27" s="1073"/>
    </row>
    <row r="28" spans="2:14" ht="27" customHeight="1" x14ac:dyDescent="0.25">
      <c r="B28" s="1081"/>
      <c r="C28" s="1098"/>
      <c r="D28" s="1099" t="s">
        <v>44</v>
      </c>
      <c r="E28" s="1125">
        <v>61939361529.599998</v>
      </c>
      <c r="F28" s="1069">
        <v>5850230158000</v>
      </c>
      <c r="G28" s="1068">
        <f t="shared" si="0"/>
        <v>1.058750850082367</v>
      </c>
      <c r="H28" s="1072"/>
      <c r="I28" s="1068"/>
      <c r="J28" s="1072"/>
      <c r="K28" s="1068"/>
      <c r="L28" s="1072"/>
      <c r="M28" s="1068"/>
      <c r="N28" s="1073"/>
    </row>
    <row r="29" spans="2:14" ht="27" customHeight="1" x14ac:dyDescent="0.25">
      <c r="B29" s="1081"/>
      <c r="C29" s="1098"/>
      <c r="D29" s="1099" t="s">
        <v>45</v>
      </c>
      <c r="E29" s="1125">
        <v>65595198072.370003</v>
      </c>
      <c r="F29" s="1069">
        <v>5850230158000</v>
      </c>
      <c r="G29" s="1068">
        <f t="shared" si="0"/>
        <v>1.1212413238592109</v>
      </c>
      <c r="H29" s="1072"/>
      <c r="I29" s="1068"/>
      <c r="J29" s="1072"/>
      <c r="K29" s="1068"/>
      <c r="L29" s="1072"/>
      <c r="M29" s="1068"/>
      <c r="N29" s="1073"/>
    </row>
    <row r="30" spans="2:14" ht="27" customHeight="1" x14ac:dyDescent="0.25">
      <c r="B30" s="1081"/>
      <c r="C30" s="1098"/>
      <c r="D30" s="1099" t="s">
        <v>46</v>
      </c>
      <c r="E30" s="1125">
        <v>62592857239.279999</v>
      </c>
      <c r="F30" s="1069">
        <v>5850230158000</v>
      </c>
      <c r="G30" s="1068">
        <f t="shared" si="0"/>
        <v>1.0699212774336118</v>
      </c>
      <c r="H30" s="1072"/>
      <c r="I30" s="1068"/>
      <c r="J30" s="1072"/>
      <c r="K30" s="1068"/>
      <c r="L30" s="1072"/>
      <c r="M30" s="1068"/>
      <c r="N30" s="1073"/>
    </row>
    <row r="31" spans="2:14" ht="27" customHeight="1" x14ac:dyDescent="0.25">
      <c r="B31" s="1081"/>
      <c r="C31" s="1098"/>
      <c r="D31" s="1099" t="s">
        <v>47</v>
      </c>
      <c r="E31" s="1125">
        <v>64759842666.910004</v>
      </c>
      <c r="F31" s="1069">
        <v>5850230158000</v>
      </c>
      <c r="G31" s="1068">
        <f t="shared" si="0"/>
        <v>1.1069623060616345</v>
      </c>
      <c r="H31" s="1072"/>
      <c r="I31" s="1068"/>
      <c r="J31" s="1072"/>
      <c r="K31" s="1068"/>
      <c r="L31" s="1072"/>
      <c r="M31" s="1068"/>
      <c r="N31" s="1073"/>
    </row>
    <row r="32" spans="2:14" ht="27" customHeight="1" x14ac:dyDescent="0.25">
      <c r="B32" s="1081"/>
      <c r="C32" s="1098"/>
      <c r="D32" s="1099" t="s">
        <v>48</v>
      </c>
      <c r="E32" s="1125">
        <v>44404979591.989998</v>
      </c>
      <c r="F32" s="1069">
        <v>5850230158000</v>
      </c>
      <c r="G32" s="1068">
        <f t="shared" si="0"/>
        <v>0.75902961751457976</v>
      </c>
      <c r="H32" s="1072"/>
      <c r="I32" s="1068"/>
      <c r="J32" s="1072"/>
      <c r="K32" s="1068"/>
      <c r="L32" s="1072"/>
      <c r="M32" s="1068"/>
      <c r="N32" s="1073"/>
    </row>
    <row r="33" spans="2:14" ht="27" customHeight="1" x14ac:dyDescent="0.25">
      <c r="B33" s="1081"/>
      <c r="C33" s="1098"/>
      <c r="D33" s="1099" t="s">
        <v>49</v>
      </c>
      <c r="E33" s="1125">
        <v>29015053505.560001</v>
      </c>
      <c r="F33" s="1069">
        <v>5850230158000</v>
      </c>
      <c r="G33" s="1068">
        <f t="shared" si="0"/>
        <v>0.49596430776117173</v>
      </c>
      <c r="H33" s="1072"/>
      <c r="I33" s="1068"/>
      <c r="J33" s="1072"/>
      <c r="K33" s="1068"/>
      <c r="L33" s="1072"/>
      <c r="M33" s="1068"/>
      <c r="N33" s="1073"/>
    </row>
    <row r="34" spans="2:14" ht="27" customHeight="1" x14ac:dyDescent="0.25">
      <c r="B34" s="1081"/>
      <c r="C34" s="1098"/>
      <c r="D34" s="1099" t="s">
        <v>50</v>
      </c>
      <c r="E34" s="1125">
        <v>43827566023.510002</v>
      </c>
      <c r="F34" s="1069">
        <v>5850230158000</v>
      </c>
      <c r="G34" s="1068">
        <f t="shared" si="0"/>
        <v>0.74915968841973213</v>
      </c>
      <c r="H34" s="1072"/>
      <c r="I34" s="1068"/>
      <c r="J34" s="1072"/>
      <c r="K34" s="1068"/>
      <c r="L34" s="1072"/>
      <c r="M34" s="1068"/>
      <c r="N34" s="1073"/>
    </row>
    <row r="35" spans="2:14" ht="27" customHeight="1" x14ac:dyDescent="0.25">
      <c r="B35" s="1081"/>
      <c r="C35" s="1103"/>
      <c r="D35" s="1104" t="s">
        <v>51</v>
      </c>
      <c r="E35" s="1127">
        <v>43402635532.330002</v>
      </c>
      <c r="F35" s="1069">
        <v>5850230158000</v>
      </c>
      <c r="G35" s="1070">
        <f t="shared" si="0"/>
        <v>0.74189620510875631</v>
      </c>
      <c r="H35" s="1086"/>
      <c r="I35" s="1070"/>
      <c r="J35" s="1086"/>
      <c r="K35" s="1070"/>
      <c r="L35" s="1086"/>
      <c r="M35" s="1070"/>
      <c r="N35" s="1087"/>
    </row>
    <row r="36" spans="2:14" ht="27" customHeight="1" x14ac:dyDescent="0.25">
      <c r="B36" s="1081"/>
      <c r="C36" s="1098"/>
      <c r="D36" s="1099" t="s">
        <v>52</v>
      </c>
      <c r="E36" s="1125">
        <v>59066221758.910004</v>
      </c>
      <c r="F36" s="1069">
        <v>5850230158000</v>
      </c>
      <c r="G36" s="1068">
        <f t="shared" si="0"/>
        <v>1.0096392819372904</v>
      </c>
      <c r="H36" s="1072"/>
      <c r="I36" s="1068"/>
      <c r="J36" s="1072"/>
      <c r="K36" s="1068"/>
      <c r="L36" s="1072"/>
      <c r="M36" s="1068"/>
      <c r="N36" s="1073"/>
    </row>
    <row r="37" spans="2:14" ht="27" customHeight="1" x14ac:dyDescent="0.25">
      <c r="B37" s="1081"/>
      <c r="C37" s="1106"/>
      <c r="D37" s="1107" t="s">
        <v>53</v>
      </c>
      <c r="E37" s="1128">
        <v>62185842294.059998</v>
      </c>
      <c r="F37" s="1069">
        <v>5850230158000</v>
      </c>
      <c r="G37" s="1071">
        <f t="shared" si="0"/>
        <v>1.0629640307231822</v>
      </c>
      <c r="H37" s="1088"/>
      <c r="I37" s="1071"/>
      <c r="J37" s="1088"/>
      <c r="K37" s="1071"/>
      <c r="L37" s="1088"/>
      <c r="M37" s="1071"/>
      <c r="N37" s="1089"/>
    </row>
    <row r="38" spans="2:14" ht="27" customHeight="1" x14ac:dyDescent="0.25">
      <c r="B38" s="1081"/>
      <c r="C38" s="1098"/>
      <c r="D38" s="1099" t="s">
        <v>54</v>
      </c>
      <c r="E38" s="1125">
        <v>65793806208.360001</v>
      </c>
      <c r="F38" s="1069">
        <v>5850230158000</v>
      </c>
      <c r="G38" s="1068">
        <f t="shared" si="0"/>
        <v>1.1246362011653355</v>
      </c>
      <c r="H38" s="1072"/>
      <c r="I38" s="1068"/>
      <c r="J38" s="1072"/>
      <c r="K38" s="1068"/>
      <c r="L38" s="1072"/>
      <c r="M38" s="1068"/>
      <c r="N38" s="1073"/>
    </row>
    <row r="39" spans="2:14" ht="27" customHeight="1" x14ac:dyDescent="0.25">
      <c r="B39" s="1081"/>
      <c r="C39" s="1098"/>
      <c r="D39" s="1099" t="s">
        <v>55</v>
      </c>
      <c r="E39" s="1125">
        <v>61543588793.150002</v>
      </c>
      <c r="F39" s="1069">
        <v>5850230158000</v>
      </c>
      <c r="G39" s="1068">
        <f t="shared" si="0"/>
        <v>1.0519857703203546</v>
      </c>
      <c r="H39" s="1072"/>
      <c r="I39" s="1068"/>
      <c r="J39" s="1072"/>
      <c r="K39" s="1068"/>
      <c r="L39" s="1072"/>
      <c r="M39" s="1068"/>
      <c r="N39" s="1073"/>
    </row>
    <row r="40" spans="2:14" ht="27" customHeight="1" x14ac:dyDescent="0.25">
      <c r="B40" s="1081"/>
      <c r="C40" s="1101"/>
      <c r="D40" s="868" t="s">
        <v>56</v>
      </c>
      <c r="E40" s="1126">
        <v>61544586915.559998</v>
      </c>
      <c r="F40" s="1069">
        <v>5850230158000</v>
      </c>
      <c r="G40" s="1068">
        <f t="shared" si="0"/>
        <v>1.052002831570648</v>
      </c>
      <c r="H40" s="1072"/>
      <c r="I40" s="1068"/>
      <c r="J40" s="1072"/>
      <c r="K40" s="1068"/>
      <c r="L40" s="1072"/>
      <c r="M40" s="1068"/>
      <c r="N40" s="1073"/>
    </row>
    <row r="41" spans="2:14" ht="27" customHeight="1" x14ac:dyDescent="0.25">
      <c r="B41" s="1081"/>
      <c r="C41" s="1098"/>
      <c r="D41" s="1099" t="s">
        <v>57</v>
      </c>
      <c r="E41" s="1125">
        <v>64316106423.529999</v>
      </c>
      <c r="F41" s="1069">
        <v>5850230158000</v>
      </c>
      <c r="G41" s="1068">
        <f t="shared" si="0"/>
        <v>1.0993773695480991</v>
      </c>
      <c r="H41" s="1072"/>
      <c r="I41" s="1068"/>
      <c r="J41" s="1072"/>
      <c r="K41" s="1068"/>
      <c r="L41" s="1072"/>
      <c r="M41" s="1068"/>
      <c r="N41" s="1073"/>
    </row>
    <row r="42" spans="2:14" ht="27" customHeight="1" x14ac:dyDescent="0.25">
      <c r="B42" s="1081"/>
      <c r="C42" s="1098"/>
      <c r="D42" s="1099" t="s">
        <v>58</v>
      </c>
      <c r="E42" s="1125">
        <v>61730319464.800003</v>
      </c>
      <c r="F42" s="1069">
        <v>5850230158000</v>
      </c>
      <c r="G42" s="1068">
        <f t="shared" si="0"/>
        <v>1.0551776220357039</v>
      </c>
      <c r="H42" s="1072"/>
      <c r="I42" s="1068"/>
      <c r="J42" s="1072"/>
      <c r="K42" s="1068"/>
      <c r="L42" s="1072"/>
      <c r="M42" s="1068"/>
      <c r="N42" s="1073"/>
    </row>
    <row r="43" spans="2:14" ht="27" customHeight="1" x14ac:dyDescent="0.25">
      <c r="B43" s="1081"/>
      <c r="C43" s="1098"/>
      <c r="D43" s="1099" t="s">
        <v>59</v>
      </c>
      <c r="E43" s="1125">
        <v>61756420382.300003</v>
      </c>
      <c r="F43" s="1069">
        <v>5850230158000</v>
      </c>
      <c r="G43" s="1068">
        <f t="shared" si="0"/>
        <v>1.0556237740125505</v>
      </c>
      <c r="H43" s="1072"/>
      <c r="I43" s="1068"/>
      <c r="J43" s="1072"/>
      <c r="K43" s="1068"/>
      <c r="L43" s="1072"/>
      <c r="M43" s="1068"/>
      <c r="N43" s="1073"/>
    </row>
    <row r="44" spans="2:14" ht="27" customHeight="1" x14ac:dyDescent="0.25">
      <c r="B44" s="1081"/>
      <c r="C44" s="1098"/>
      <c r="D44" s="1099" t="s">
        <v>60</v>
      </c>
      <c r="E44" s="1125">
        <v>60339107583.360001</v>
      </c>
      <c r="F44" s="1069">
        <v>5850230158000</v>
      </c>
      <c r="G44" s="1068">
        <f t="shared" si="0"/>
        <v>1.0313971579536614</v>
      </c>
      <c r="H44" s="1072"/>
      <c r="I44" s="1068"/>
      <c r="J44" s="1072"/>
      <c r="K44" s="1068"/>
      <c r="L44" s="1072"/>
      <c r="M44" s="1068"/>
      <c r="N44" s="1073"/>
    </row>
    <row r="45" spans="2:14" ht="27" customHeight="1" x14ac:dyDescent="0.25">
      <c r="B45" s="1081"/>
      <c r="C45" s="1098"/>
      <c r="D45" s="1099" t="s">
        <v>61</v>
      </c>
      <c r="E45" s="1125">
        <v>31867021099</v>
      </c>
      <c r="F45" s="1069">
        <v>5850230158000</v>
      </c>
      <c r="G45" s="1068">
        <f t="shared" si="0"/>
        <v>0.54471397258487142</v>
      </c>
      <c r="H45" s="1072"/>
      <c r="I45" s="1068"/>
      <c r="J45" s="1072"/>
      <c r="K45" s="1068"/>
      <c r="L45" s="1072"/>
      <c r="M45" s="1068"/>
      <c r="N45" s="1073"/>
    </row>
    <row r="46" spans="2:14" s="1085" customFormat="1" ht="27" customHeight="1" x14ac:dyDescent="0.25">
      <c r="B46" s="1082"/>
      <c r="C46" s="1096" t="s">
        <v>62</v>
      </c>
      <c r="D46" s="1109" t="s">
        <v>4388</v>
      </c>
      <c r="E46" s="1129">
        <f>SUM(E47:E67)</f>
        <v>3861473585000</v>
      </c>
      <c r="F46" s="1069">
        <v>5850230158000</v>
      </c>
      <c r="G46" s="1069">
        <f>+E46/F46*100</f>
        <v>66.005498599393746</v>
      </c>
      <c r="H46" s="1083"/>
      <c r="I46" s="1069"/>
      <c r="J46" s="1083"/>
      <c r="K46" s="1069"/>
      <c r="L46" s="1083"/>
      <c r="M46" s="1069"/>
      <c r="N46" s="1084"/>
    </row>
    <row r="47" spans="2:14" ht="27" customHeight="1" x14ac:dyDescent="0.25">
      <c r="B47" s="1081"/>
      <c r="C47" s="1098"/>
      <c r="D47" s="867" t="s">
        <v>977</v>
      </c>
      <c r="E47" s="1110">
        <v>1033246526900</v>
      </c>
      <c r="F47" s="1068">
        <v>5850230158000</v>
      </c>
      <c r="G47" s="1068">
        <f>E47/F47*100</f>
        <v>17.661638926924418</v>
      </c>
      <c r="H47" s="1072"/>
      <c r="I47" s="1068"/>
      <c r="J47" s="1072"/>
      <c r="K47" s="1068"/>
      <c r="L47" s="1072"/>
      <c r="M47" s="1068"/>
      <c r="N47" s="1073"/>
    </row>
    <row r="48" spans="2:14" ht="27" customHeight="1" x14ac:dyDescent="0.25">
      <c r="B48" s="1081"/>
      <c r="C48" s="1098"/>
      <c r="D48" s="867" t="s">
        <v>1020</v>
      </c>
      <c r="E48" s="1130">
        <v>156991000000</v>
      </c>
      <c r="F48" s="1068">
        <v>5850230158000</v>
      </c>
      <c r="G48" s="1068">
        <f t="shared" si="0"/>
        <v>2.6835012599516261</v>
      </c>
      <c r="H48" s="1072"/>
      <c r="I48" s="1068"/>
      <c r="J48" s="1072"/>
      <c r="K48" s="1068"/>
      <c r="L48" s="1072"/>
      <c r="M48" s="1068"/>
      <c r="N48" s="1073"/>
    </row>
    <row r="49" spans="2:14" ht="27" customHeight="1" x14ac:dyDescent="0.25">
      <c r="B49" s="1081"/>
      <c r="C49" s="1098"/>
      <c r="D49" s="867" t="s">
        <v>4545</v>
      </c>
      <c r="E49" s="1130">
        <v>291000000000</v>
      </c>
      <c r="F49" s="1068">
        <v>5850230158000</v>
      </c>
      <c r="G49" s="1068">
        <f t="shared" si="0"/>
        <v>4.9741632746203486</v>
      </c>
      <c r="H49" s="1072"/>
      <c r="I49" s="1068"/>
      <c r="J49" s="1072"/>
      <c r="K49" s="1068"/>
      <c r="L49" s="1072"/>
      <c r="M49" s="1068"/>
      <c r="N49" s="1073"/>
    </row>
    <row r="50" spans="2:14" ht="27" customHeight="1" x14ac:dyDescent="0.25">
      <c r="B50" s="1081"/>
      <c r="C50" s="1098"/>
      <c r="D50" s="867" t="s">
        <v>4547</v>
      </c>
      <c r="E50" s="1130">
        <v>140000000000</v>
      </c>
      <c r="F50" s="1068">
        <v>5850230158000</v>
      </c>
      <c r="G50" s="1068">
        <f t="shared" si="0"/>
        <v>2.3930682420853913</v>
      </c>
      <c r="H50" s="1072"/>
      <c r="I50" s="1068"/>
      <c r="J50" s="1072"/>
      <c r="K50" s="1068"/>
      <c r="L50" s="1072"/>
      <c r="M50" s="1068"/>
      <c r="N50" s="1073"/>
    </row>
    <row r="51" spans="2:14" ht="27" customHeight="1" x14ac:dyDescent="0.25">
      <c r="B51" s="1081"/>
      <c r="C51" s="1098"/>
      <c r="D51" s="868" t="s">
        <v>4546</v>
      </c>
      <c r="E51" s="1130">
        <v>50000000000</v>
      </c>
      <c r="F51" s="1068">
        <v>5850230158000</v>
      </c>
      <c r="G51" s="1068">
        <f t="shared" si="0"/>
        <v>0.85466722931621109</v>
      </c>
      <c r="H51" s="1072"/>
      <c r="I51" s="1068"/>
      <c r="J51" s="1072"/>
      <c r="K51" s="1068"/>
      <c r="L51" s="1072"/>
      <c r="M51" s="1068"/>
      <c r="N51" s="1073"/>
    </row>
    <row r="52" spans="2:14" ht="27" customHeight="1" x14ac:dyDescent="0.25">
      <c r="B52" s="1081"/>
      <c r="C52" s="1066"/>
      <c r="D52" s="867" t="s">
        <v>4548</v>
      </c>
      <c r="E52" s="1130">
        <v>10000000000</v>
      </c>
      <c r="F52" s="1068">
        <v>5850230158000</v>
      </c>
      <c r="G52" s="1068">
        <f>E52/F52*100</f>
        <v>0.17093344586324222</v>
      </c>
      <c r="H52" s="1072"/>
      <c r="I52" s="1068"/>
      <c r="J52" s="1072"/>
      <c r="K52" s="1068"/>
      <c r="L52" s="1072"/>
      <c r="M52" s="1068"/>
      <c r="N52" s="1073"/>
    </row>
    <row r="53" spans="2:14" ht="39" customHeight="1" x14ac:dyDescent="0.25">
      <c r="B53" s="1081"/>
      <c r="C53" s="1074"/>
      <c r="D53" s="867" t="s">
        <v>4549</v>
      </c>
      <c r="E53" s="1130">
        <v>1000000000</v>
      </c>
      <c r="F53" s="1068">
        <v>5850230158000</v>
      </c>
      <c r="G53" s="1068">
        <f t="shared" ref="G53:G67" si="1">E53/F53*100</f>
        <v>1.7093344586324222E-2</v>
      </c>
      <c r="H53" s="1072"/>
      <c r="I53" s="1068"/>
      <c r="J53" s="1072"/>
      <c r="K53" s="1068"/>
      <c r="L53" s="1072"/>
      <c r="M53" s="1068"/>
      <c r="N53" s="1073"/>
    </row>
    <row r="54" spans="2:14" ht="27" customHeight="1" x14ac:dyDescent="0.25">
      <c r="B54" s="1081"/>
      <c r="C54" s="1074"/>
      <c r="D54" s="867" t="s">
        <v>1134</v>
      </c>
      <c r="E54" s="1130">
        <v>6328812000</v>
      </c>
      <c r="F54" s="1068">
        <v>5850230158000</v>
      </c>
      <c r="G54" s="1068">
        <f t="shared" si="1"/>
        <v>0.10818056433806378</v>
      </c>
      <c r="H54" s="1072"/>
      <c r="I54" s="1068"/>
      <c r="J54" s="1072"/>
      <c r="K54" s="1068"/>
      <c r="L54" s="1072"/>
      <c r="M54" s="1068"/>
      <c r="N54" s="1073"/>
    </row>
    <row r="55" spans="2:14" ht="39" customHeight="1" x14ac:dyDescent="0.25">
      <c r="B55" s="1081"/>
      <c r="C55" s="1074"/>
      <c r="D55" s="867" t="s">
        <v>4550</v>
      </c>
      <c r="E55" s="1130">
        <v>5000000000</v>
      </c>
      <c r="F55" s="1068">
        <v>5850230158000</v>
      </c>
      <c r="G55" s="1068">
        <f t="shared" si="1"/>
        <v>8.5466722931621109E-2</v>
      </c>
      <c r="H55" s="1072"/>
      <c r="I55" s="1068"/>
      <c r="J55" s="1072"/>
      <c r="K55" s="1068"/>
      <c r="L55" s="1072"/>
      <c r="M55" s="1068"/>
      <c r="N55" s="1073"/>
    </row>
    <row r="56" spans="2:14" ht="27" customHeight="1" x14ac:dyDescent="0.25">
      <c r="B56" s="1081"/>
      <c r="C56" s="1074"/>
      <c r="D56" s="868" t="s">
        <v>4551</v>
      </c>
      <c r="E56" s="1110">
        <v>665934875510</v>
      </c>
      <c r="F56" s="1068">
        <v>5850230158000</v>
      </c>
      <c r="G56" s="1068">
        <f t="shared" si="1"/>
        <v>11.383054299143353</v>
      </c>
      <c r="H56" s="1072"/>
      <c r="I56" s="1068"/>
      <c r="J56" s="1072"/>
      <c r="K56" s="1068"/>
      <c r="L56" s="1072"/>
      <c r="M56" s="1068"/>
      <c r="N56" s="1073"/>
    </row>
    <row r="57" spans="2:14" ht="27" customHeight="1" x14ac:dyDescent="0.25">
      <c r="B57" s="1081"/>
      <c r="C57" s="1074"/>
      <c r="D57" s="868" t="s">
        <v>4552</v>
      </c>
      <c r="E57" s="1110">
        <v>8000000000</v>
      </c>
      <c r="F57" s="1068">
        <v>5850230158000</v>
      </c>
      <c r="G57" s="1068">
        <f t="shared" si="1"/>
        <v>0.13674675669059377</v>
      </c>
      <c r="H57" s="1072"/>
      <c r="I57" s="1068"/>
      <c r="J57" s="1072"/>
      <c r="K57" s="1068"/>
      <c r="L57" s="1072"/>
      <c r="M57" s="1068"/>
      <c r="N57" s="1073"/>
    </row>
    <row r="58" spans="2:14" ht="27" customHeight="1" x14ac:dyDescent="0.25">
      <c r="B58" s="1081"/>
      <c r="C58" s="1074"/>
      <c r="D58" s="868" t="s">
        <v>1498</v>
      </c>
      <c r="E58" s="1110">
        <v>5000000000</v>
      </c>
      <c r="F58" s="1068">
        <v>5850230158000</v>
      </c>
      <c r="G58" s="1068">
        <f t="shared" si="1"/>
        <v>8.5466722931621109E-2</v>
      </c>
      <c r="H58" s="1072"/>
      <c r="I58" s="1068"/>
      <c r="J58" s="1072"/>
      <c r="K58" s="1068"/>
      <c r="L58" s="1072"/>
      <c r="M58" s="1068"/>
      <c r="N58" s="1073"/>
    </row>
    <row r="59" spans="2:14" ht="27" customHeight="1" x14ac:dyDescent="0.25">
      <c r="B59" s="1081"/>
      <c r="C59" s="1074"/>
      <c r="D59" s="867" t="s">
        <v>4553</v>
      </c>
      <c r="E59" s="1110">
        <v>10000000000</v>
      </c>
      <c r="F59" s="1068">
        <v>5850230158000</v>
      </c>
      <c r="G59" s="1068">
        <f t="shared" si="1"/>
        <v>0.17093344586324222</v>
      </c>
      <c r="H59" s="1072"/>
      <c r="I59" s="1068"/>
      <c r="J59" s="1072"/>
      <c r="K59" s="1068"/>
      <c r="L59" s="1072"/>
      <c r="M59" s="1068"/>
      <c r="N59" s="1073"/>
    </row>
    <row r="60" spans="2:14" ht="27" customHeight="1" x14ac:dyDescent="0.25">
      <c r="B60" s="1081"/>
      <c r="C60" s="1074"/>
      <c r="D60" s="868" t="s">
        <v>2135</v>
      </c>
      <c r="E60" s="1110">
        <v>6000000000</v>
      </c>
      <c r="F60" s="1068">
        <v>5850230158000</v>
      </c>
      <c r="G60" s="1068">
        <f t="shared" si="1"/>
        <v>0.10256006751794533</v>
      </c>
      <c r="H60" s="1072"/>
      <c r="I60" s="1068"/>
      <c r="J60" s="1072"/>
      <c r="K60" s="1068"/>
      <c r="L60" s="1072"/>
      <c r="M60" s="1068"/>
      <c r="N60" s="1073"/>
    </row>
    <row r="61" spans="2:14" ht="27" customHeight="1" x14ac:dyDescent="0.25">
      <c r="B61" s="1081"/>
      <c r="C61" s="1074"/>
      <c r="D61" s="867" t="s">
        <v>4555</v>
      </c>
      <c r="E61" s="1110">
        <v>6000000000</v>
      </c>
      <c r="F61" s="1068">
        <v>5850230158000</v>
      </c>
      <c r="G61" s="1068">
        <f t="shared" si="1"/>
        <v>0.10256006751794533</v>
      </c>
      <c r="H61" s="1072"/>
      <c r="I61" s="1068"/>
      <c r="J61" s="1072"/>
      <c r="K61" s="1068"/>
      <c r="L61" s="1072"/>
      <c r="M61" s="1068"/>
      <c r="N61" s="1073"/>
    </row>
    <row r="62" spans="2:14" ht="27" customHeight="1" x14ac:dyDescent="0.25">
      <c r="B62" s="1081"/>
      <c r="C62" s="1074"/>
      <c r="D62" s="868" t="s">
        <v>4554</v>
      </c>
      <c r="E62" s="1110">
        <v>8000000000</v>
      </c>
      <c r="F62" s="1068">
        <v>5850230158000</v>
      </c>
      <c r="G62" s="1068">
        <f t="shared" si="1"/>
        <v>0.13674675669059377</v>
      </c>
      <c r="H62" s="1072"/>
      <c r="I62" s="1068"/>
      <c r="J62" s="1072"/>
      <c r="K62" s="1068"/>
      <c r="L62" s="1072"/>
      <c r="M62" s="1068"/>
      <c r="N62" s="1073"/>
    </row>
    <row r="63" spans="2:14" ht="27" customHeight="1" x14ac:dyDescent="0.25">
      <c r="B63" s="1081"/>
      <c r="C63" s="1074"/>
      <c r="D63" s="867" t="s">
        <v>1991</v>
      </c>
      <c r="E63" s="1110">
        <v>5000000000</v>
      </c>
      <c r="F63" s="1068">
        <v>5850230158000</v>
      </c>
      <c r="G63" s="1068">
        <f t="shared" si="1"/>
        <v>8.5466722931621109E-2</v>
      </c>
      <c r="H63" s="1072"/>
      <c r="I63" s="1068"/>
      <c r="J63" s="1072"/>
      <c r="K63" s="1068"/>
      <c r="L63" s="1072"/>
      <c r="M63" s="1068"/>
      <c r="N63" s="1073"/>
    </row>
    <row r="64" spans="2:14" ht="27" customHeight="1" x14ac:dyDescent="0.25">
      <c r="B64" s="1081"/>
      <c r="C64" s="1074"/>
      <c r="D64" s="868" t="s">
        <v>4556</v>
      </c>
      <c r="E64" s="1110">
        <v>65268836000</v>
      </c>
      <c r="F64" s="1068">
        <v>5850230158000</v>
      </c>
      <c r="G64" s="1068">
        <f t="shared" si="1"/>
        <v>1.1156627044962835</v>
      </c>
      <c r="H64" s="1072"/>
      <c r="I64" s="1068"/>
      <c r="J64" s="1072"/>
      <c r="K64" s="1068"/>
      <c r="L64" s="1072"/>
      <c r="M64" s="1068"/>
      <c r="N64" s="1073"/>
    </row>
    <row r="65" spans="2:14" ht="27" customHeight="1" x14ac:dyDescent="0.25">
      <c r="B65" s="1081"/>
      <c r="C65" s="1074"/>
      <c r="D65" s="867" t="s">
        <v>4557</v>
      </c>
      <c r="E65" s="1110">
        <v>250000000000</v>
      </c>
      <c r="F65" s="1068">
        <v>5850230158000</v>
      </c>
      <c r="G65" s="1068">
        <f t="shared" si="1"/>
        <v>4.2733361465810553</v>
      </c>
      <c r="H65" s="1072"/>
      <c r="I65" s="1068"/>
      <c r="J65" s="1072"/>
      <c r="K65" s="1068"/>
      <c r="L65" s="1072"/>
      <c r="M65" s="1068"/>
      <c r="N65" s="1073"/>
    </row>
    <row r="66" spans="2:14" ht="27" customHeight="1" x14ac:dyDescent="0.25">
      <c r="B66" s="1081"/>
      <c r="C66" s="1074"/>
      <c r="D66" s="868" t="s">
        <v>1466</v>
      </c>
      <c r="E66" s="1110">
        <v>9500000000</v>
      </c>
      <c r="F66" s="1068">
        <v>5850230158000</v>
      </c>
      <c r="G66" s="1068">
        <f t="shared" si="1"/>
        <v>0.16238677357008011</v>
      </c>
      <c r="H66" s="1072"/>
      <c r="I66" s="1068"/>
      <c r="J66" s="1072"/>
      <c r="K66" s="1068"/>
      <c r="L66" s="1072"/>
      <c r="M66" s="1068"/>
      <c r="N66" s="1073"/>
    </row>
    <row r="67" spans="2:14" ht="27" customHeight="1" x14ac:dyDescent="0.25">
      <c r="B67" s="1081"/>
      <c r="C67" s="1074"/>
      <c r="D67" s="868" t="s">
        <v>4558</v>
      </c>
      <c r="E67" s="1110">
        <v>1129203534590</v>
      </c>
      <c r="F67" s="1068">
        <v>5850230158000</v>
      </c>
      <c r="G67" s="1068">
        <f t="shared" si="1"/>
        <v>19.301865124842152</v>
      </c>
      <c r="H67" s="1072"/>
      <c r="I67" s="1068"/>
      <c r="J67" s="1072"/>
      <c r="K67" s="1068"/>
      <c r="L67" s="1072"/>
      <c r="M67" s="1068"/>
      <c r="N67" s="1073"/>
    </row>
    <row r="68" spans="2:14" ht="34.5" customHeight="1" x14ac:dyDescent="0.25">
      <c r="B68" s="1081"/>
      <c r="C68" s="1075" t="s">
        <v>4544</v>
      </c>
      <c r="D68" s="1120" t="s">
        <v>4524</v>
      </c>
      <c r="E68" s="1131">
        <f>+A.4!E713</f>
        <v>42000000000</v>
      </c>
      <c r="F68" s="1132">
        <v>5850230158000</v>
      </c>
      <c r="G68" s="1121">
        <f>E68/F68*100</f>
        <v>0.71792047262561731</v>
      </c>
      <c r="H68" s="1122"/>
      <c r="I68" s="1121"/>
      <c r="J68" s="1122"/>
      <c r="K68" s="1121"/>
      <c r="L68" s="1122"/>
      <c r="M68" s="1121"/>
      <c r="N68" s="1123"/>
    </row>
    <row r="69" spans="2:14" s="1085" customFormat="1" ht="20.100000000000001" customHeight="1" x14ac:dyDescent="0.25">
      <c r="B69" s="1082"/>
      <c r="C69" s="1076"/>
      <c r="D69" s="1077" t="s">
        <v>69</v>
      </c>
      <c r="E69" s="1133">
        <f>+E15+E16+E46+E68</f>
        <v>5850230158000</v>
      </c>
      <c r="F69" s="992">
        <v>5580152407000</v>
      </c>
      <c r="G69" s="992">
        <f>E69/E69*100</f>
        <v>100</v>
      </c>
      <c r="H69" s="1090"/>
      <c r="I69" s="992"/>
      <c r="J69" s="1090"/>
      <c r="K69" s="992"/>
      <c r="L69" s="1090"/>
      <c r="M69" s="992"/>
      <c r="N69" s="1091"/>
    </row>
    <row r="70" spans="2:14" ht="12.75" customHeight="1" x14ac:dyDescent="0.25">
      <c r="C70" s="1078"/>
      <c r="D70" s="1079"/>
      <c r="E70" s="1080"/>
      <c r="F70" s="1080"/>
      <c r="G70" s="1080"/>
      <c r="H70" s="1080"/>
      <c r="I70" s="1080"/>
      <c r="J70" s="1080"/>
      <c r="K70" s="1080"/>
      <c r="L70" s="1080"/>
      <c r="M70" s="1080"/>
      <c r="N70" s="1080"/>
    </row>
    <row r="72" spans="2:14" ht="39.75" customHeight="1" x14ac:dyDescent="0.25">
      <c r="C72" s="1299"/>
      <c r="D72" s="1299"/>
      <c r="E72" s="1299"/>
      <c r="F72" s="1299"/>
      <c r="G72" s="1299"/>
      <c r="H72" s="1299"/>
    </row>
    <row r="74" spans="2:14" s="952" customFormat="1" ht="20.100000000000001" customHeight="1" x14ac:dyDescent="0.25">
      <c r="B74" s="1053"/>
      <c r="C74" s="1060"/>
      <c r="D74" s="1037"/>
      <c r="N74" s="1053"/>
    </row>
    <row r="75" spans="2:14" s="952" customFormat="1" ht="20.100000000000001" customHeight="1" x14ac:dyDescent="0.25">
      <c r="B75" s="1053"/>
      <c r="C75" s="1060"/>
      <c r="D75" s="1111"/>
      <c r="E75" s="1112"/>
      <c r="N75" s="1053"/>
    </row>
    <row r="77" spans="2:14" s="952" customFormat="1" ht="20.100000000000001" customHeight="1" x14ac:dyDescent="0.25">
      <c r="B77" s="1053"/>
      <c r="C77" s="1060"/>
      <c r="D77" s="1053"/>
      <c r="N77" s="1053"/>
    </row>
  </sheetData>
  <mergeCells count="21">
    <mergeCell ref="C72:H72"/>
    <mergeCell ref="M6:N7"/>
    <mergeCell ref="C9:C11"/>
    <mergeCell ref="D9:D11"/>
    <mergeCell ref="E9:G9"/>
    <mergeCell ref="H9:J9"/>
    <mergeCell ref="K9:M9"/>
    <mergeCell ref="N9:N11"/>
    <mergeCell ref="E10:E11"/>
    <mergeCell ref="G10:G11"/>
    <mergeCell ref="H10:H11"/>
    <mergeCell ref="I10:I11"/>
    <mergeCell ref="J10:J11"/>
    <mergeCell ref="K10:K11"/>
    <mergeCell ref="L10:L11"/>
    <mergeCell ref="M10:M11"/>
    <mergeCell ref="C1:N1"/>
    <mergeCell ref="C2:N2"/>
    <mergeCell ref="C3:N3"/>
    <mergeCell ref="C4:N4"/>
    <mergeCell ref="C5:N5"/>
  </mergeCells>
  <printOptions horizontalCentered="1"/>
  <pageMargins left="0.59055118110236204" right="0" top="0.35433070866141703" bottom="0.196850393700787" header="0.31496062992126" footer="0.31496062992126"/>
  <pageSetup paperSize="9" scale="70" orientation="landscape" horizontalDpi="1200" verticalDpi="1200" r:id="rId1"/>
  <rowBreaks count="1" manualBreakCount="1">
    <brk id="65" min="1" max="1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J5742"/>
  <sheetViews>
    <sheetView tabSelected="1" view="pageBreakPreview" zoomScaleNormal="100" zoomScaleSheetLayoutView="100" workbookViewId="0">
      <selection activeCell="A5518" activeCellId="8" sqref="A5518"/>
    </sheetView>
  </sheetViews>
  <sheetFormatPr defaultColWidth="8.85546875" defaultRowHeight="12.75" x14ac:dyDescent="0.25"/>
  <cols>
    <col min="1" max="1" width="3.28515625" style="80" customWidth="1"/>
    <col min="2" max="2" width="2.85546875" style="80" customWidth="1"/>
    <col min="3" max="3" width="6.5703125" style="87" customWidth="1"/>
    <col min="4" max="4" width="24.5703125" style="80" customWidth="1"/>
    <col min="5" max="5" width="18.140625" style="137" customWidth="1"/>
    <col min="6" max="6" width="21.140625" style="138" customWidth="1"/>
    <col min="7" max="7" width="8.7109375" style="139" customWidth="1"/>
    <col min="8" max="8" width="8.5703125" style="139" customWidth="1"/>
    <col min="9" max="9" width="17.42578125" style="80" customWidth="1"/>
    <col min="10" max="16384" width="8.85546875" style="80"/>
  </cols>
  <sheetData>
    <row r="1" spans="1:9" x14ac:dyDescent="0.25">
      <c r="A1" s="76"/>
      <c r="B1" s="76"/>
      <c r="C1" s="76"/>
      <c r="D1" s="77"/>
      <c r="E1" s="209"/>
      <c r="F1" s="78"/>
      <c r="G1" s="79"/>
      <c r="H1" s="79"/>
    </row>
    <row r="2" spans="1:9" ht="14.1" customHeight="1" x14ac:dyDescent="0.25">
      <c r="A2" s="76"/>
      <c r="B2" s="76"/>
      <c r="C2" s="1322"/>
      <c r="D2" s="1322"/>
      <c r="E2" s="1322"/>
      <c r="F2" s="1322"/>
      <c r="G2" s="1322"/>
      <c r="H2" s="1322"/>
    </row>
    <row r="3" spans="1:9" ht="20.100000000000001" customHeight="1" x14ac:dyDescent="0.25">
      <c r="A3" s="76"/>
      <c r="B3" s="76"/>
      <c r="C3" s="1323" t="s">
        <v>70</v>
      </c>
      <c r="D3" s="1323"/>
      <c r="E3" s="1323"/>
      <c r="F3" s="1323"/>
      <c r="G3" s="1323"/>
      <c r="H3" s="1323"/>
    </row>
    <row r="4" spans="1:9" ht="20.100000000000001" customHeight="1" x14ac:dyDescent="0.25">
      <c r="A4" s="76"/>
      <c r="B4" s="76"/>
      <c r="C4" s="1323" t="s">
        <v>71</v>
      </c>
      <c r="D4" s="1323"/>
      <c r="E4" s="1323"/>
      <c r="F4" s="1323"/>
      <c r="G4" s="1323"/>
      <c r="H4" s="1323"/>
    </row>
    <row r="5" spans="1:9" ht="20.100000000000001" customHeight="1" x14ac:dyDescent="0.25">
      <c r="A5" s="76"/>
      <c r="B5" s="76"/>
      <c r="C5" s="1323" t="s">
        <v>72</v>
      </c>
      <c r="D5" s="1323"/>
      <c r="E5" s="1323"/>
      <c r="F5" s="1323"/>
      <c r="G5" s="1323"/>
      <c r="H5" s="1323"/>
    </row>
    <row r="6" spans="1:9" ht="14.1" customHeight="1" x14ac:dyDescent="0.25">
      <c r="A6" s="76"/>
      <c r="B6" s="76"/>
      <c r="C6" s="208"/>
      <c r="D6" s="208"/>
      <c r="E6" s="208"/>
      <c r="F6" s="78"/>
      <c r="G6" s="79"/>
      <c r="H6" s="79"/>
    </row>
    <row r="7" spans="1:9" ht="23.25" customHeight="1" x14ac:dyDescent="0.25">
      <c r="A7" s="76"/>
      <c r="B7" s="76"/>
      <c r="C7" s="76" t="s">
        <v>73</v>
      </c>
      <c r="D7" s="76"/>
      <c r="E7" s="81"/>
      <c r="F7" s="78"/>
      <c r="G7" s="79"/>
      <c r="H7" s="82" t="s">
        <v>74</v>
      </c>
    </row>
    <row r="8" spans="1:9" ht="23.25" customHeight="1" x14ac:dyDescent="0.25">
      <c r="A8" s="76"/>
      <c r="B8" s="76"/>
      <c r="C8" s="76" t="s">
        <v>4</v>
      </c>
      <c r="D8" s="76"/>
      <c r="E8" s="77"/>
      <c r="F8" s="78"/>
      <c r="G8" s="79"/>
      <c r="H8" s="82"/>
    </row>
    <row r="9" spans="1:9" ht="14.1" customHeight="1" x14ac:dyDescent="0.25">
      <c r="A9" s="76"/>
      <c r="B9" s="76"/>
      <c r="C9" s="83"/>
      <c r="D9" s="83"/>
      <c r="E9" s="84"/>
      <c r="F9" s="78"/>
      <c r="G9" s="79"/>
      <c r="H9" s="79"/>
    </row>
    <row r="10" spans="1:9" ht="21" customHeight="1" x14ac:dyDescent="0.25">
      <c r="B10" s="76"/>
      <c r="C10" s="1324" t="s">
        <v>6</v>
      </c>
      <c r="D10" s="1324" t="s">
        <v>7</v>
      </c>
      <c r="E10" s="1326" t="s">
        <v>8</v>
      </c>
      <c r="F10" s="1327"/>
      <c r="G10" s="1327"/>
      <c r="H10" s="1328"/>
      <c r="I10" s="1320" t="s">
        <v>11</v>
      </c>
    </row>
    <row r="11" spans="1:9" ht="78.75" customHeight="1" x14ac:dyDescent="0.25">
      <c r="B11" s="76"/>
      <c r="C11" s="1325"/>
      <c r="D11" s="1325"/>
      <c r="E11" s="85" t="s">
        <v>75</v>
      </c>
      <c r="F11" s="559" t="s">
        <v>76</v>
      </c>
      <c r="G11" s="359" t="s">
        <v>77</v>
      </c>
      <c r="H11" s="86" t="s">
        <v>78</v>
      </c>
      <c r="I11" s="1321"/>
    </row>
    <row r="12" spans="1:9" s="87" customFormat="1" ht="20.100000000000001" customHeight="1" x14ac:dyDescent="0.25">
      <c r="B12" s="208"/>
      <c r="C12" s="88" t="s">
        <v>18</v>
      </c>
      <c r="D12" s="88" t="s">
        <v>19</v>
      </c>
      <c r="E12" s="89" t="s">
        <v>26</v>
      </c>
      <c r="F12" s="90" t="s">
        <v>27</v>
      </c>
      <c r="G12" s="360" t="s">
        <v>28</v>
      </c>
      <c r="H12" s="91" t="s">
        <v>79</v>
      </c>
      <c r="I12" s="92"/>
    </row>
    <row r="13" spans="1:9" ht="4.5" customHeight="1" x14ac:dyDescent="0.25">
      <c r="B13" s="76"/>
      <c r="C13" s="93"/>
      <c r="D13" s="93"/>
      <c r="E13" s="94"/>
      <c r="F13" s="95"/>
      <c r="G13" s="361"/>
      <c r="H13" s="96"/>
      <c r="I13" s="97"/>
    </row>
    <row r="14" spans="1:9" ht="12" customHeight="1" x14ac:dyDescent="0.25">
      <c r="B14" s="76"/>
      <c r="C14" s="98"/>
      <c r="D14" s="99"/>
      <c r="E14" s="100"/>
      <c r="F14" s="101"/>
      <c r="G14" s="362"/>
      <c r="H14" s="102"/>
      <c r="I14" s="103"/>
    </row>
    <row r="15" spans="1:9" ht="16.5" customHeight="1" x14ac:dyDescent="0.25">
      <c r="B15" s="76"/>
      <c r="C15" s="384" t="s">
        <v>80</v>
      </c>
      <c r="D15" s="210" t="s">
        <v>81</v>
      </c>
      <c r="E15" s="211">
        <f>E16+E85+E162+E182+E197+E216+E233+E258+E277+E291+E311+E327+E345+E358+E362+E384+E403+E425+E462+E490+E516+E537+E555+E566+E570+E574+E606+E624+E631+E645+E659+E663+E670+E675</f>
        <v>772294717000</v>
      </c>
      <c r="F15" s="212">
        <f>+F16+F85+F162+F182+F197+F216+F233+F258+F277+F291+F311+F327+F345+F358+F362+F384+F403+F425+F462+F490+F516+F537+F555+F566+F570+F574+F606+F624+F631+F645+F659+F670+F675</f>
        <v>683691140536.65991</v>
      </c>
      <c r="G15" s="213">
        <f t="shared" ref="G15:G27" si="0">+F15/E15*100</f>
        <v>88.527232607841327</v>
      </c>
      <c r="H15" s="213">
        <f>(H16+H85+H162+H182+H197+H216+H233+H258+H277+H291+H311+H327+H345+H358+H362+H384+H403+H425+H462+H490+H516+H537+H555+H566+H570+H574+H606+H624+H645+H659+H663+H670+H675)/33</f>
        <v>91.361502519401228</v>
      </c>
      <c r="I15" s="214"/>
    </row>
    <row r="16" spans="1:9" ht="16.5" hidden="1" customHeight="1" x14ac:dyDescent="0.25">
      <c r="B16" s="76"/>
      <c r="C16" s="226"/>
      <c r="D16" s="48" t="s">
        <v>82</v>
      </c>
      <c r="E16" s="112">
        <f>+E17+E29+E26+E34+E43+E60+E63+E71</f>
        <v>113555068526</v>
      </c>
      <c r="F16" s="113">
        <f>+F17+F26+F29+F34+F43+F60+F63+F71</f>
        <v>77732318264</v>
      </c>
      <c r="G16" s="110">
        <f t="shared" si="0"/>
        <v>68.45341143552929</v>
      </c>
      <c r="H16" s="110">
        <f>(H17+H26+H29+H34+H43+H60+H63+H71)/8</f>
        <v>77.075861361215757</v>
      </c>
      <c r="I16" s="111"/>
    </row>
    <row r="17" spans="2:9" s="115" customFormat="1" ht="16.5" hidden="1" customHeight="1" x14ac:dyDescent="0.25">
      <c r="B17" s="157"/>
      <c r="C17" s="222"/>
      <c r="D17" s="48" t="s">
        <v>83</v>
      </c>
      <c r="E17" s="112">
        <v>7770200000</v>
      </c>
      <c r="F17" s="113">
        <f>SUM(F18:F25)</f>
        <v>6916445112</v>
      </c>
      <c r="G17" s="110">
        <f t="shared" si="0"/>
        <v>89.012446423515485</v>
      </c>
      <c r="H17" s="110">
        <f>SUM((H18:H25))/8</f>
        <v>87.499748032583184</v>
      </c>
      <c r="I17" s="121"/>
    </row>
    <row r="18" spans="2:9" ht="16.5" hidden="1" customHeight="1" x14ac:dyDescent="0.25">
      <c r="B18" s="76"/>
      <c r="C18" s="226"/>
      <c r="D18" s="32" t="s">
        <v>84</v>
      </c>
      <c r="E18" s="172">
        <v>704000000</v>
      </c>
      <c r="F18" s="221">
        <v>704000000</v>
      </c>
      <c r="G18" s="235">
        <f t="shared" si="0"/>
        <v>100</v>
      </c>
      <c r="H18" s="235">
        <f t="shared" ref="H18:H75" si="1">+G18</f>
        <v>100</v>
      </c>
      <c r="I18" s="111"/>
    </row>
    <row r="19" spans="2:9" ht="16.5" hidden="1" customHeight="1" x14ac:dyDescent="0.25">
      <c r="B19" s="76"/>
      <c r="C19" s="226"/>
      <c r="D19" s="32" t="s">
        <v>85</v>
      </c>
      <c r="E19" s="172">
        <v>724300000</v>
      </c>
      <c r="F19" s="221">
        <v>724285400</v>
      </c>
      <c r="G19" s="235">
        <f t="shared" si="0"/>
        <v>99.997984260665476</v>
      </c>
      <c r="H19" s="235">
        <f t="shared" si="1"/>
        <v>99.997984260665476</v>
      </c>
      <c r="I19" s="111"/>
    </row>
    <row r="20" spans="2:9" ht="18.75" hidden="1" customHeight="1" x14ac:dyDescent="0.25">
      <c r="B20" s="76"/>
      <c r="C20" s="226"/>
      <c r="D20" s="119" t="s">
        <v>86</v>
      </c>
      <c r="E20" s="172">
        <v>705250000</v>
      </c>
      <c r="F20" s="108"/>
      <c r="G20" s="235">
        <f t="shared" si="0"/>
        <v>0</v>
      </c>
      <c r="H20" s="235">
        <f t="shared" si="1"/>
        <v>0</v>
      </c>
      <c r="I20" s="111"/>
    </row>
    <row r="21" spans="2:9" ht="16.5" hidden="1" customHeight="1" x14ac:dyDescent="0.25">
      <c r="B21" s="76"/>
      <c r="C21" s="226"/>
      <c r="D21" s="32" t="s">
        <v>87</v>
      </c>
      <c r="E21" s="172">
        <v>3209750000</v>
      </c>
      <c r="F21" s="221">
        <v>3061259712</v>
      </c>
      <c r="G21" s="235">
        <f t="shared" si="0"/>
        <v>95.373774032245507</v>
      </c>
      <c r="H21" s="235">
        <v>100</v>
      </c>
      <c r="I21" s="111"/>
    </row>
    <row r="22" spans="2:9" ht="16.5" hidden="1" customHeight="1" x14ac:dyDescent="0.25">
      <c r="B22" s="76"/>
      <c r="C22" s="226"/>
      <c r="D22" s="32" t="s">
        <v>88</v>
      </c>
      <c r="E22" s="172">
        <v>700400000</v>
      </c>
      <c r="F22" s="221">
        <v>700400000</v>
      </c>
      <c r="G22" s="235">
        <f t="shared" si="0"/>
        <v>100</v>
      </c>
      <c r="H22" s="235">
        <f t="shared" si="1"/>
        <v>100</v>
      </c>
      <c r="I22" s="111"/>
    </row>
    <row r="23" spans="2:9" ht="16.5" hidden="1" customHeight="1" x14ac:dyDescent="0.25">
      <c r="B23" s="76"/>
      <c r="C23" s="226"/>
      <c r="D23" s="32" t="s">
        <v>89</v>
      </c>
      <c r="E23" s="172">
        <v>767000000</v>
      </c>
      <c r="F23" s="221">
        <v>767000000</v>
      </c>
      <c r="G23" s="235">
        <f t="shared" si="0"/>
        <v>100</v>
      </c>
      <c r="H23" s="235">
        <f t="shared" si="1"/>
        <v>100</v>
      </c>
      <c r="I23" s="111"/>
    </row>
    <row r="24" spans="2:9" ht="16.5" hidden="1" customHeight="1" x14ac:dyDescent="0.25">
      <c r="B24" s="76"/>
      <c r="C24" s="226"/>
      <c r="D24" s="32" t="s">
        <v>90</v>
      </c>
      <c r="E24" s="172">
        <v>559500000</v>
      </c>
      <c r="F24" s="221">
        <v>559500000</v>
      </c>
      <c r="G24" s="235">
        <f t="shared" si="0"/>
        <v>100</v>
      </c>
      <c r="H24" s="235">
        <f t="shared" si="1"/>
        <v>100</v>
      </c>
      <c r="I24" s="111"/>
    </row>
    <row r="25" spans="2:9" ht="16.5" hidden="1" customHeight="1" x14ac:dyDescent="0.25">
      <c r="B25" s="76"/>
      <c r="C25" s="226"/>
      <c r="D25" s="32" t="s">
        <v>91</v>
      </c>
      <c r="E25" s="172">
        <v>400000000</v>
      </c>
      <c r="F25" s="221">
        <v>400000000</v>
      </c>
      <c r="G25" s="235">
        <f t="shared" si="0"/>
        <v>100</v>
      </c>
      <c r="H25" s="235">
        <f t="shared" si="1"/>
        <v>100</v>
      </c>
      <c r="I25" s="111"/>
    </row>
    <row r="26" spans="2:9" s="115" customFormat="1" ht="16.5" hidden="1" customHeight="1" x14ac:dyDescent="0.25">
      <c r="B26" s="157"/>
      <c r="C26" s="222"/>
      <c r="D26" s="48" t="s">
        <v>92</v>
      </c>
      <c r="E26" s="112">
        <v>656600000</v>
      </c>
      <c r="F26" s="113">
        <f>+F27+F28</f>
        <v>656600000</v>
      </c>
      <c r="G26" s="110">
        <f t="shared" si="0"/>
        <v>100</v>
      </c>
      <c r="H26" s="110">
        <f>SUM((H27:H28))/2</f>
        <v>50</v>
      </c>
      <c r="I26" s="121"/>
    </row>
    <row r="27" spans="2:9" ht="16.5" hidden="1" customHeight="1" x14ac:dyDescent="0.25">
      <c r="B27" s="76"/>
      <c r="C27" s="226"/>
      <c r="D27" s="32" t="s">
        <v>93</v>
      </c>
      <c r="E27" s="172">
        <v>656600000</v>
      </c>
      <c r="F27" s="221">
        <v>656600000</v>
      </c>
      <c r="G27" s="235">
        <f t="shared" si="0"/>
        <v>100</v>
      </c>
      <c r="H27" s="235">
        <f t="shared" si="1"/>
        <v>100</v>
      </c>
      <c r="I27" s="111"/>
    </row>
    <row r="28" spans="2:9" ht="16.5" hidden="1" customHeight="1" x14ac:dyDescent="0.25">
      <c r="B28" s="76"/>
      <c r="C28" s="226"/>
      <c r="D28" s="32" t="s">
        <v>94</v>
      </c>
      <c r="E28" s="172">
        <v>0</v>
      </c>
      <c r="F28" s="108"/>
      <c r="G28" s="110"/>
      <c r="H28" s="110"/>
      <c r="I28" s="111"/>
    </row>
    <row r="29" spans="2:9" s="115" customFormat="1" ht="16.5" hidden="1" customHeight="1" x14ac:dyDescent="0.25">
      <c r="B29" s="157"/>
      <c r="C29" s="222"/>
      <c r="D29" s="48" t="s">
        <v>95</v>
      </c>
      <c r="E29" s="112">
        <v>1356000000</v>
      </c>
      <c r="F29" s="113">
        <f>SUM(F30:F33)</f>
        <v>1333677378</v>
      </c>
      <c r="G29" s="110">
        <f t="shared" ref="G29:G60" si="2">+F29/E29*100</f>
        <v>98.3537889380531</v>
      </c>
      <c r="H29" s="110">
        <f>SUM((H30:H33))/4</f>
        <v>100</v>
      </c>
      <c r="I29" s="121"/>
    </row>
    <row r="30" spans="2:9" ht="16.5" hidden="1" customHeight="1" x14ac:dyDescent="0.25">
      <c r="B30" s="76"/>
      <c r="C30" s="226"/>
      <c r="D30" s="32" t="s">
        <v>96</v>
      </c>
      <c r="E30" s="172">
        <v>500000000</v>
      </c>
      <c r="F30" s="221">
        <v>488080378</v>
      </c>
      <c r="G30" s="235">
        <f t="shared" si="2"/>
        <v>97.616075600000002</v>
      </c>
      <c r="H30" s="235">
        <v>100</v>
      </c>
      <c r="I30" s="111"/>
    </row>
    <row r="31" spans="2:9" ht="16.5" hidden="1" customHeight="1" x14ac:dyDescent="0.25">
      <c r="B31" s="76"/>
      <c r="C31" s="226"/>
      <c r="D31" s="32" t="s">
        <v>97</v>
      </c>
      <c r="E31" s="172">
        <v>200000000</v>
      </c>
      <c r="F31" s="221">
        <v>200000000</v>
      </c>
      <c r="G31" s="235">
        <f t="shared" si="2"/>
        <v>100</v>
      </c>
      <c r="H31" s="235">
        <f t="shared" si="1"/>
        <v>100</v>
      </c>
      <c r="I31" s="111"/>
    </row>
    <row r="32" spans="2:9" ht="16.5" hidden="1" customHeight="1" x14ac:dyDescent="0.25">
      <c r="B32" s="76"/>
      <c r="C32" s="226"/>
      <c r="D32" s="32" t="s">
        <v>98</v>
      </c>
      <c r="E32" s="172">
        <v>156000000</v>
      </c>
      <c r="F32" s="221">
        <v>154875000</v>
      </c>
      <c r="G32" s="235">
        <f t="shared" si="2"/>
        <v>99.27884615384616</v>
      </c>
      <c r="H32" s="235">
        <v>100</v>
      </c>
      <c r="I32" s="111"/>
    </row>
    <row r="33" spans="2:9" ht="16.5" hidden="1" customHeight="1" x14ac:dyDescent="0.25">
      <c r="B33" s="76"/>
      <c r="C33" s="226"/>
      <c r="D33" s="32" t="s">
        <v>99</v>
      </c>
      <c r="E33" s="172">
        <v>500000000</v>
      </c>
      <c r="F33" s="221">
        <v>490722000</v>
      </c>
      <c r="G33" s="235">
        <f t="shared" si="2"/>
        <v>98.144400000000005</v>
      </c>
      <c r="H33" s="235">
        <v>100</v>
      </c>
      <c r="I33" s="111"/>
    </row>
    <row r="34" spans="2:9" s="115" customFormat="1" ht="16.5" hidden="1" customHeight="1" x14ac:dyDescent="0.25">
      <c r="B34" s="157"/>
      <c r="C34" s="222"/>
      <c r="D34" s="48" t="s">
        <v>100</v>
      </c>
      <c r="E34" s="112">
        <v>14368211250</v>
      </c>
      <c r="F34" s="113">
        <f>SUM(F35:F42)</f>
        <v>13931503804</v>
      </c>
      <c r="G34" s="110">
        <f t="shared" si="2"/>
        <v>96.960599768464576</v>
      </c>
      <c r="H34" s="110">
        <f>SUM((H35:H42))/8</f>
        <v>98.75</v>
      </c>
      <c r="I34" s="121"/>
    </row>
    <row r="35" spans="2:9" ht="16.5" hidden="1" customHeight="1" x14ac:dyDescent="0.25">
      <c r="B35" s="76"/>
      <c r="C35" s="226"/>
      <c r="D35" s="32" t="s">
        <v>101</v>
      </c>
      <c r="E35" s="172">
        <v>2000000000</v>
      </c>
      <c r="F35" s="221">
        <v>2000000000</v>
      </c>
      <c r="G35" s="235">
        <f t="shared" si="2"/>
        <v>100</v>
      </c>
      <c r="H35" s="235">
        <f t="shared" si="1"/>
        <v>100</v>
      </c>
      <c r="I35" s="111"/>
    </row>
    <row r="36" spans="2:9" ht="16.5" hidden="1" customHeight="1" x14ac:dyDescent="0.25">
      <c r="B36" s="76"/>
      <c r="C36" s="226"/>
      <c r="D36" s="32" t="s">
        <v>102</v>
      </c>
      <c r="E36" s="172">
        <v>2000000000</v>
      </c>
      <c r="F36" s="221">
        <v>1939630900</v>
      </c>
      <c r="G36" s="235">
        <f t="shared" si="2"/>
        <v>96.981544999999997</v>
      </c>
      <c r="H36" s="235">
        <v>100</v>
      </c>
      <c r="I36" s="111"/>
    </row>
    <row r="37" spans="2:9" ht="16.5" hidden="1" customHeight="1" x14ac:dyDescent="0.25">
      <c r="B37" s="76"/>
      <c r="C37" s="226"/>
      <c r="D37" s="32" t="s">
        <v>103</v>
      </c>
      <c r="E37" s="172">
        <v>1000000000</v>
      </c>
      <c r="F37" s="221">
        <v>1000000000</v>
      </c>
      <c r="G37" s="235">
        <f t="shared" si="2"/>
        <v>100</v>
      </c>
      <c r="H37" s="235">
        <f t="shared" si="1"/>
        <v>100</v>
      </c>
      <c r="I37" s="111"/>
    </row>
    <row r="38" spans="2:9" ht="16.5" hidden="1" customHeight="1" x14ac:dyDescent="0.25">
      <c r="B38" s="76"/>
      <c r="C38" s="226"/>
      <c r="D38" s="32" t="s">
        <v>104</v>
      </c>
      <c r="E38" s="172">
        <v>2000000000</v>
      </c>
      <c r="F38" s="221">
        <v>1831301400</v>
      </c>
      <c r="G38" s="235">
        <f t="shared" si="2"/>
        <v>91.565070000000006</v>
      </c>
      <c r="H38" s="235">
        <v>95</v>
      </c>
      <c r="I38" s="111"/>
    </row>
    <row r="39" spans="2:9" ht="16.5" hidden="1" customHeight="1" x14ac:dyDescent="0.25">
      <c r="B39" s="76"/>
      <c r="C39" s="226"/>
      <c r="D39" s="32" t="s">
        <v>105</v>
      </c>
      <c r="E39" s="172">
        <v>3000000000</v>
      </c>
      <c r="F39" s="221">
        <v>2999432300</v>
      </c>
      <c r="G39" s="235">
        <f t="shared" si="2"/>
        <v>99.981076666666667</v>
      </c>
      <c r="H39" s="235">
        <v>100</v>
      </c>
      <c r="I39" s="111"/>
    </row>
    <row r="40" spans="2:9" ht="16.5" hidden="1" customHeight="1" x14ac:dyDescent="0.25">
      <c r="B40" s="76"/>
      <c r="C40" s="226"/>
      <c r="D40" s="32" t="s">
        <v>106</v>
      </c>
      <c r="E40" s="172">
        <v>840000000</v>
      </c>
      <c r="F40" s="221">
        <v>838519200</v>
      </c>
      <c r="G40" s="235">
        <f t="shared" si="2"/>
        <v>99.823714285714289</v>
      </c>
      <c r="H40" s="235">
        <v>100</v>
      </c>
      <c r="I40" s="111"/>
    </row>
    <row r="41" spans="2:9" ht="16.5" hidden="1" customHeight="1" x14ac:dyDescent="0.25">
      <c r="B41" s="76"/>
      <c r="C41" s="226"/>
      <c r="D41" s="32" t="s">
        <v>107</v>
      </c>
      <c r="E41" s="172">
        <v>1728211250</v>
      </c>
      <c r="F41" s="221">
        <v>1567990528</v>
      </c>
      <c r="G41" s="235">
        <f t="shared" si="2"/>
        <v>90.729100855002528</v>
      </c>
      <c r="H41" s="235">
        <v>95</v>
      </c>
      <c r="I41" s="111"/>
    </row>
    <row r="42" spans="2:9" ht="28.5" hidden="1" customHeight="1" x14ac:dyDescent="0.25">
      <c r="B42" s="76"/>
      <c r="C42" s="226"/>
      <c r="D42" s="119" t="s">
        <v>108</v>
      </c>
      <c r="E42" s="172">
        <v>1800000000</v>
      </c>
      <c r="F42" s="221">
        <v>1754629476</v>
      </c>
      <c r="G42" s="235">
        <f t="shared" si="2"/>
        <v>97.479415333333336</v>
      </c>
      <c r="H42" s="235">
        <v>100</v>
      </c>
      <c r="I42" s="111"/>
    </row>
    <row r="43" spans="2:9" s="115" customFormat="1" ht="16.5" hidden="1" customHeight="1" x14ac:dyDescent="0.25">
      <c r="B43" s="157"/>
      <c r="C43" s="222"/>
      <c r="D43" s="48" t="s">
        <v>109</v>
      </c>
      <c r="E43" s="112">
        <f>SUM(E44:E59)</f>
        <v>49431488750</v>
      </c>
      <c r="F43" s="113">
        <f>SUM(F44:F59)</f>
        <v>16716917218</v>
      </c>
      <c r="G43" s="110">
        <f t="shared" si="2"/>
        <v>33.818356761508625</v>
      </c>
      <c r="H43" s="110">
        <f>SUM((H44:H59))/16</f>
        <v>92.5</v>
      </c>
      <c r="I43" s="121"/>
    </row>
    <row r="44" spans="2:9" ht="16.5" hidden="1" customHeight="1" x14ac:dyDescent="0.25">
      <c r="B44" s="76"/>
      <c r="C44" s="226"/>
      <c r="D44" s="32" t="s">
        <v>110</v>
      </c>
      <c r="E44" s="172">
        <v>1334920000</v>
      </c>
      <c r="F44" s="221">
        <v>1222723000</v>
      </c>
      <c r="G44" s="235">
        <f t="shared" si="2"/>
        <v>91.595226680250491</v>
      </c>
      <c r="H44" s="235">
        <v>95</v>
      </c>
      <c r="I44" s="111"/>
    </row>
    <row r="45" spans="2:9" ht="16.5" hidden="1" customHeight="1" x14ac:dyDescent="0.25">
      <c r="B45" s="76"/>
      <c r="C45" s="226"/>
      <c r="D45" s="32" t="s">
        <v>111</v>
      </c>
      <c r="E45" s="172">
        <v>1806390000</v>
      </c>
      <c r="F45" s="221">
        <v>1755764700</v>
      </c>
      <c r="G45" s="235">
        <f t="shared" si="2"/>
        <v>97.197432448142422</v>
      </c>
      <c r="H45" s="235">
        <v>100</v>
      </c>
      <c r="I45" s="111"/>
    </row>
    <row r="46" spans="2:9" ht="16.5" hidden="1" customHeight="1" x14ac:dyDescent="0.25">
      <c r="B46" s="76"/>
      <c r="C46" s="226"/>
      <c r="D46" s="32" t="s">
        <v>112</v>
      </c>
      <c r="E46" s="172">
        <v>5693390000</v>
      </c>
      <c r="F46" s="221">
        <v>5436869058</v>
      </c>
      <c r="G46" s="235">
        <f t="shared" si="2"/>
        <v>95.49440769032158</v>
      </c>
      <c r="H46" s="235">
        <v>95</v>
      </c>
      <c r="I46" s="111"/>
    </row>
    <row r="47" spans="2:9" ht="16.5" hidden="1" customHeight="1" x14ac:dyDescent="0.25">
      <c r="B47" s="76"/>
      <c r="C47" s="226"/>
      <c r="D47" s="32" t="s">
        <v>113</v>
      </c>
      <c r="E47" s="172">
        <v>300000000</v>
      </c>
      <c r="F47" s="221">
        <v>300000000</v>
      </c>
      <c r="G47" s="235">
        <f t="shared" si="2"/>
        <v>100</v>
      </c>
      <c r="H47" s="235">
        <f t="shared" si="1"/>
        <v>100</v>
      </c>
      <c r="I47" s="111"/>
    </row>
    <row r="48" spans="2:9" ht="16.5" hidden="1" customHeight="1" x14ac:dyDescent="0.25">
      <c r="B48" s="76"/>
      <c r="C48" s="226"/>
      <c r="D48" s="32" t="s">
        <v>114</v>
      </c>
      <c r="E48" s="172">
        <v>1761300000</v>
      </c>
      <c r="F48" s="221">
        <v>1752800279</v>
      </c>
      <c r="G48" s="235">
        <f t="shared" si="2"/>
        <v>99.517417759609387</v>
      </c>
      <c r="H48" s="235">
        <v>100</v>
      </c>
      <c r="I48" s="111"/>
    </row>
    <row r="49" spans="2:9" ht="16.5" hidden="1" customHeight="1" x14ac:dyDescent="0.25">
      <c r="B49" s="76"/>
      <c r="C49" s="226"/>
      <c r="D49" s="32" t="s">
        <v>115</v>
      </c>
      <c r="E49" s="172">
        <v>335000000</v>
      </c>
      <c r="F49" s="221">
        <v>335000000</v>
      </c>
      <c r="G49" s="235">
        <f t="shared" si="2"/>
        <v>100</v>
      </c>
      <c r="H49" s="235">
        <f t="shared" si="1"/>
        <v>100</v>
      </c>
      <c r="I49" s="111"/>
    </row>
    <row r="50" spans="2:9" ht="16.5" hidden="1" customHeight="1" x14ac:dyDescent="0.25">
      <c r="B50" s="76"/>
      <c r="C50" s="226"/>
      <c r="D50" s="32" t="s">
        <v>116</v>
      </c>
      <c r="E50" s="172">
        <v>449000000</v>
      </c>
      <c r="F50" s="221">
        <v>449000000</v>
      </c>
      <c r="G50" s="235">
        <f t="shared" si="2"/>
        <v>100</v>
      </c>
      <c r="H50" s="235">
        <v>100</v>
      </c>
      <c r="I50" s="111"/>
    </row>
    <row r="51" spans="2:9" ht="16.5" hidden="1" customHeight="1" x14ac:dyDescent="0.25">
      <c r="B51" s="76"/>
      <c r="C51" s="226"/>
      <c r="D51" s="32" t="s">
        <v>117</v>
      </c>
      <c r="E51" s="172">
        <v>674400000</v>
      </c>
      <c r="F51" s="221">
        <v>669630000</v>
      </c>
      <c r="G51" s="235">
        <f t="shared" si="2"/>
        <v>99.292704626334512</v>
      </c>
      <c r="H51" s="235">
        <v>100</v>
      </c>
      <c r="I51" s="111"/>
    </row>
    <row r="52" spans="2:9" ht="16.5" hidden="1" customHeight="1" x14ac:dyDescent="0.25">
      <c r="B52" s="76"/>
      <c r="C52" s="226"/>
      <c r="D52" s="32" t="s">
        <v>118</v>
      </c>
      <c r="E52" s="172">
        <v>569738750</v>
      </c>
      <c r="F52" s="221">
        <v>554699081</v>
      </c>
      <c r="G52" s="235">
        <f t="shared" si="2"/>
        <v>97.360251694307252</v>
      </c>
      <c r="H52" s="235">
        <v>100</v>
      </c>
      <c r="I52" s="111"/>
    </row>
    <row r="53" spans="2:9" ht="16.5" hidden="1" customHeight="1" x14ac:dyDescent="0.25">
      <c r="B53" s="76"/>
      <c r="C53" s="226"/>
      <c r="D53" s="32" t="s">
        <v>119</v>
      </c>
      <c r="E53" s="172">
        <v>418900000</v>
      </c>
      <c r="F53" s="221">
        <v>418766000</v>
      </c>
      <c r="G53" s="235">
        <f t="shared" si="2"/>
        <v>99.968011458581998</v>
      </c>
      <c r="H53" s="235">
        <v>100</v>
      </c>
      <c r="I53" s="111"/>
    </row>
    <row r="54" spans="2:9" ht="16.5" hidden="1" customHeight="1" x14ac:dyDescent="0.25">
      <c r="B54" s="76"/>
      <c r="C54" s="226"/>
      <c r="D54" s="32" t="s">
        <v>120</v>
      </c>
      <c r="E54" s="172">
        <v>418900000</v>
      </c>
      <c r="F54" s="221">
        <v>418900000</v>
      </c>
      <c r="G54" s="235">
        <f t="shared" si="2"/>
        <v>100</v>
      </c>
      <c r="H54" s="235">
        <f t="shared" si="1"/>
        <v>100</v>
      </c>
      <c r="I54" s="111"/>
    </row>
    <row r="55" spans="2:9" ht="16.5" hidden="1" customHeight="1" x14ac:dyDescent="0.25">
      <c r="B55" s="76"/>
      <c r="C55" s="226"/>
      <c r="D55" s="32" t="s">
        <v>121</v>
      </c>
      <c r="E55" s="172">
        <v>33705800000</v>
      </c>
      <c r="F55" s="221">
        <v>1516394000</v>
      </c>
      <c r="G55" s="235">
        <f t="shared" si="2"/>
        <v>4.4989111666241417</v>
      </c>
      <c r="H55" s="235">
        <v>5</v>
      </c>
      <c r="I55" s="111"/>
    </row>
    <row r="56" spans="2:9" ht="16.5" hidden="1" customHeight="1" x14ac:dyDescent="0.25">
      <c r="B56" s="76"/>
      <c r="C56" s="226"/>
      <c r="D56" s="32" t="s">
        <v>122</v>
      </c>
      <c r="E56" s="172">
        <v>291550000</v>
      </c>
      <c r="F56" s="221">
        <v>256171100</v>
      </c>
      <c r="G56" s="235">
        <f t="shared" si="2"/>
        <v>87.865237523580859</v>
      </c>
      <c r="H56" s="235">
        <v>90</v>
      </c>
      <c r="I56" s="111"/>
    </row>
    <row r="57" spans="2:9" ht="16.5" hidden="1" customHeight="1" x14ac:dyDescent="0.25">
      <c r="B57" s="76"/>
      <c r="C57" s="226"/>
      <c r="D57" s="32" t="s">
        <v>123</v>
      </c>
      <c r="E57" s="172">
        <v>842000000</v>
      </c>
      <c r="F57" s="221">
        <v>800000000</v>
      </c>
      <c r="G57" s="235">
        <f t="shared" si="2"/>
        <v>95.01187648456056</v>
      </c>
      <c r="H57" s="235">
        <v>95</v>
      </c>
      <c r="I57" s="111"/>
    </row>
    <row r="58" spans="2:9" ht="16.5" hidden="1" customHeight="1" x14ac:dyDescent="0.25">
      <c r="B58" s="76"/>
      <c r="C58" s="226"/>
      <c r="D58" s="32" t="s">
        <v>124</v>
      </c>
      <c r="E58" s="172">
        <v>435000000</v>
      </c>
      <c r="F58" s="221">
        <f>E58</f>
        <v>435000000</v>
      </c>
      <c r="G58" s="235">
        <f t="shared" si="2"/>
        <v>100</v>
      </c>
      <c r="H58" s="235">
        <f t="shared" si="1"/>
        <v>100</v>
      </c>
      <c r="I58" s="111"/>
    </row>
    <row r="59" spans="2:9" ht="16.5" hidden="1" customHeight="1" x14ac:dyDescent="0.25">
      <c r="B59" s="76"/>
      <c r="C59" s="226"/>
      <c r="D59" s="32" t="s">
        <v>125</v>
      </c>
      <c r="E59" s="172">
        <v>395200000</v>
      </c>
      <c r="F59" s="221">
        <v>395200000</v>
      </c>
      <c r="G59" s="110">
        <f t="shared" si="2"/>
        <v>100</v>
      </c>
      <c r="H59" s="110">
        <f t="shared" si="1"/>
        <v>100</v>
      </c>
      <c r="I59" s="111"/>
    </row>
    <row r="60" spans="2:9" s="115" customFormat="1" ht="16.5" hidden="1" customHeight="1" x14ac:dyDescent="0.25">
      <c r="B60" s="157"/>
      <c r="C60" s="222"/>
      <c r="D60" s="48" t="s">
        <v>126</v>
      </c>
      <c r="E60" s="112">
        <f>+E61+E62</f>
        <v>38368526</v>
      </c>
      <c r="F60" s="113"/>
      <c r="G60" s="235">
        <f t="shared" si="2"/>
        <v>0</v>
      </c>
      <c r="H60" s="235">
        <f t="shared" si="1"/>
        <v>0</v>
      </c>
      <c r="I60" s="121"/>
    </row>
    <row r="61" spans="2:9" ht="16.5" hidden="1" customHeight="1" x14ac:dyDescent="0.25">
      <c r="B61" s="76"/>
      <c r="C61" s="226"/>
      <c r="D61" s="32" t="s">
        <v>127</v>
      </c>
      <c r="E61" s="172"/>
      <c r="F61" s="108"/>
      <c r="G61" s="235"/>
      <c r="H61" s="235">
        <f t="shared" si="1"/>
        <v>0</v>
      </c>
      <c r="I61" s="111"/>
    </row>
    <row r="62" spans="2:9" ht="16.5" hidden="1" customHeight="1" x14ac:dyDescent="0.25">
      <c r="B62" s="76"/>
      <c r="C62" s="226"/>
      <c r="D62" s="32" t="s">
        <v>128</v>
      </c>
      <c r="E62" s="172">
        <v>38368526</v>
      </c>
      <c r="F62" s="108">
        <v>0</v>
      </c>
      <c r="G62" s="235">
        <f t="shared" ref="G62:G83" si="3">+F62/E62*100</f>
        <v>0</v>
      </c>
      <c r="H62" s="235">
        <f t="shared" si="1"/>
        <v>0</v>
      </c>
      <c r="I62" s="111"/>
    </row>
    <row r="63" spans="2:9" s="115" customFormat="1" ht="16.5" hidden="1" customHeight="1" x14ac:dyDescent="0.25">
      <c r="B63" s="157"/>
      <c r="C63" s="222"/>
      <c r="D63" s="48" t="s">
        <v>129</v>
      </c>
      <c r="E63" s="112">
        <v>30476100000</v>
      </c>
      <c r="F63" s="113">
        <f>SUM(F64:F70)</f>
        <v>28727186152</v>
      </c>
      <c r="G63" s="110">
        <f t="shared" si="3"/>
        <v>94.261359399660719</v>
      </c>
      <c r="H63" s="110">
        <f>SUM((H64:H70))/7</f>
        <v>87.857142857142861</v>
      </c>
      <c r="I63" s="121"/>
    </row>
    <row r="64" spans="2:9" ht="16.5" hidden="1" customHeight="1" x14ac:dyDescent="0.25">
      <c r="B64" s="76"/>
      <c r="C64" s="226"/>
      <c r="D64" s="32" t="s">
        <v>130</v>
      </c>
      <c r="E64" s="172">
        <v>3000000000</v>
      </c>
      <c r="F64" s="221">
        <v>2975075989</v>
      </c>
      <c r="G64" s="235">
        <f t="shared" si="3"/>
        <v>99.169199633333335</v>
      </c>
      <c r="H64" s="235">
        <v>100</v>
      </c>
      <c r="I64" s="111"/>
    </row>
    <row r="65" spans="2:9" ht="18.75" hidden="1" customHeight="1" x14ac:dyDescent="0.25">
      <c r="B65" s="76"/>
      <c r="C65" s="226"/>
      <c r="D65" s="119" t="s">
        <v>131</v>
      </c>
      <c r="E65" s="172">
        <v>10007100000</v>
      </c>
      <c r="F65" s="221">
        <v>9302258163</v>
      </c>
      <c r="G65" s="235">
        <f t="shared" si="3"/>
        <v>92.956582456455919</v>
      </c>
      <c r="H65" s="235">
        <v>95</v>
      </c>
      <c r="I65" s="111"/>
    </row>
    <row r="66" spans="2:9" ht="16.5" hidden="1" customHeight="1" x14ac:dyDescent="0.25">
      <c r="B66" s="76"/>
      <c r="C66" s="226"/>
      <c r="D66" s="32" t="s">
        <v>132</v>
      </c>
      <c r="E66" s="172">
        <v>11716200000</v>
      </c>
      <c r="F66" s="221">
        <v>11212443800</v>
      </c>
      <c r="G66" s="235">
        <f t="shared" si="3"/>
        <v>95.700344821699872</v>
      </c>
      <c r="H66" s="235">
        <v>100</v>
      </c>
      <c r="I66" s="111"/>
    </row>
    <row r="67" spans="2:9" ht="16.5" hidden="1" customHeight="1" x14ac:dyDescent="0.25">
      <c r="B67" s="76"/>
      <c r="C67" s="226"/>
      <c r="D67" s="32" t="s">
        <v>133</v>
      </c>
      <c r="E67" s="172">
        <v>4015000000</v>
      </c>
      <c r="F67" s="221">
        <v>4000000000</v>
      </c>
      <c r="G67" s="235">
        <f t="shared" si="3"/>
        <v>99.62640099626401</v>
      </c>
      <c r="H67" s="235">
        <v>100</v>
      </c>
      <c r="I67" s="111"/>
    </row>
    <row r="68" spans="2:9" ht="16.5" hidden="1" customHeight="1" x14ac:dyDescent="0.25">
      <c r="B68" s="76"/>
      <c r="C68" s="226"/>
      <c r="D68" s="32" t="s">
        <v>134</v>
      </c>
      <c r="E68" s="172">
        <v>737800000</v>
      </c>
      <c r="F68" s="221">
        <v>687408200</v>
      </c>
      <c r="G68" s="235">
        <f t="shared" si="3"/>
        <v>93.169991867714828</v>
      </c>
      <c r="H68" s="235">
        <v>95</v>
      </c>
      <c r="I68" s="111"/>
    </row>
    <row r="69" spans="2:9" ht="16.5" hidden="1" customHeight="1" x14ac:dyDescent="0.25">
      <c r="B69" s="76"/>
      <c r="C69" s="226"/>
      <c r="D69" s="32" t="s">
        <v>135</v>
      </c>
      <c r="E69" s="172">
        <v>600000000</v>
      </c>
      <c r="F69" s="221">
        <v>150000000</v>
      </c>
      <c r="G69" s="235">
        <f t="shared" si="3"/>
        <v>25</v>
      </c>
      <c r="H69" s="235">
        <f t="shared" si="1"/>
        <v>25</v>
      </c>
      <c r="I69" s="111"/>
    </row>
    <row r="70" spans="2:9" ht="16.5" hidden="1" customHeight="1" x14ac:dyDescent="0.25">
      <c r="B70" s="76"/>
      <c r="C70" s="226"/>
      <c r="D70" s="32" t="s">
        <v>136</v>
      </c>
      <c r="E70" s="172">
        <v>400000000</v>
      </c>
      <c r="F70" s="221">
        <v>400000000</v>
      </c>
      <c r="G70" s="235">
        <f t="shared" si="3"/>
        <v>100</v>
      </c>
      <c r="H70" s="235">
        <f t="shared" si="1"/>
        <v>100</v>
      </c>
      <c r="I70" s="111"/>
    </row>
    <row r="71" spans="2:9" s="115" customFormat="1" ht="16.5" hidden="1" customHeight="1" x14ac:dyDescent="0.25">
      <c r="B71" s="157"/>
      <c r="C71" s="222"/>
      <c r="D71" s="48" t="s">
        <v>137</v>
      </c>
      <c r="E71" s="112">
        <v>9458100000</v>
      </c>
      <c r="F71" s="113">
        <f>+F72+F73+F74+F75+F76+F77+F78+F79+F80+F81+F82+F83</f>
        <v>9449988600</v>
      </c>
      <c r="G71" s="110">
        <f t="shared" si="3"/>
        <v>99.91423858914581</v>
      </c>
      <c r="H71" s="110">
        <f>SUM((H72:H83))/12</f>
        <v>100</v>
      </c>
      <c r="I71" s="121"/>
    </row>
    <row r="72" spans="2:9" ht="16.5" hidden="1" customHeight="1" x14ac:dyDescent="0.25">
      <c r="B72" s="76"/>
      <c r="C72" s="226"/>
      <c r="D72" s="32" t="s">
        <v>138</v>
      </c>
      <c r="E72" s="172">
        <v>2882000000</v>
      </c>
      <c r="F72" s="221">
        <v>2878038600</v>
      </c>
      <c r="G72" s="235">
        <f t="shared" si="3"/>
        <v>99.862546842470508</v>
      </c>
      <c r="H72" s="235">
        <v>100</v>
      </c>
      <c r="I72" s="111"/>
    </row>
    <row r="73" spans="2:9" ht="16.5" hidden="1" customHeight="1" x14ac:dyDescent="0.25">
      <c r="B73" s="76"/>
      <c r="C73" s="226"/>
      <c r="D73" s="32" t="s">
        <v>139</v>
      </c>
      <c r="E73" s="172">
        <v>500000000</v>
      </c>
      <c r="F73" s="221">
        <v>500000000</v>
      </c>
      <c r="G73" s="235">
        <f t="shared" si="3"/>
        <v>100</v>
      </c>
      <c r="H73" s="235">
        <f t="shared" si="1"/>
        <v>100</v>
      </c>
      <c r="I73" s="111"/>
    </row>
    <row r="74" spans="2:9" ht="16.5" hidden="1" customHeight="1" x14ac:dyDescent="0.25">
      <c r="B74" s="76"/>
      <c r="C74" s="226"/>
      <c r="D74" s="32" t="s">
        <v>140</v>
      </c>
      <c r="E74" s="172">
        <v>375000000</v>
      </c>
      <c r="F74" s="221">
        <v>374820600</v>
      </c>
      <c r="G74" s="235">
        <f t="shared" si="3"/>
        <v>99.952160000000006</v>
      </c>
      <c r="H74" s="235">
        <v>100</v>
      </c>
      <c r="I74" s="111"/>
    </row>
    <row r="75" spans="2:9" ht="16.5" hidden="1" customHeight="1" x14ac:dyDescent="0.25">
      <c r="B75" s="76"/>
      <c r="C75" s="226"/>
      <c r="D75" s="32" t="s">
        <v>141</v>
      </c>
      <c r="E75" s="172">
        <v>500000000</v>
      </c>
      <c r="F75" s="221">
        <v>500000000</v>
      </c>
      <c r="G75" s="235">
        <f t="shared" si="3"/>
        <v>100</v>
      </c>
      <c r="H75" s="235">
        <f t="shared" si="1"/>
        <v>100</v>
      </c>
      <c r="I75" s="111"/>
    </row>
    <row r="76" spans="2:9" ht="16.5" hidden="1" customHeight="1" x14ac:dyDescent="0.25">
      <c r="B76" s="76"/>
      <c r="C76" s="226"/>
      <c r="D76" s="32" t="s">
        <v>142</v>
      </c>
      <c r="E76" s="172">
        <v>970400000</v>
      </c>
      <c r="F76" s="221">
        <v>968193800</v>
      </c>
      <c r="G76" s="235">
        <f t="shared" si="3"/>
        <v>99.772650453421278</v>
      </c>
      <c r="H76" s="235">
        <v>100</v>
      </c>
      <c r="I76" s="111"/>
    </row>
    <row r="77" spans="2:9" ht="16.5" hidden="1" customHeight="1" x14ac:dyDescent="0.25">
      <c r="B77" s="76"/>
      <c r="C77" s="226"/>
      <c r="D77" s="32" t="s">
        <v>143</v>
      </c>
      <c r="E77" s="172">
        <v>981000000</v>
      </c>
      <c r="F77" s="221">
        <v>981000000</v>
      </c>
      <c r="G77" s="235">
        <f t="shared" si="3"/>
        <v>100</v>
      </c>
      <c r="H77" s="235">
        <v>100</v>
      </c>
      <c r="I77" s="111"/>
    </row>
    <row r="78" spans="2:9" ht="16.5" hidden="1" customHeight="1" x14ac:dyDescent="0.25">
      <c r="B78" s="76"/>
      <c r="C78" s="226"/>
      <c r="D78" s="32" t="s">
        <v>144</v>
      </c>
      <c r="E78" s="172">
        <v>899400000</v>
      </c>
      <c r="F78" s="221">
        <v>898377000</v>
      </c>
      <c r="G78" s="235">
        <f t="shared" si="3"/>
        <v>99.886257505003343</v>
      </c>
      <c r="H78" s="235">
        <v>100</v>
      </c>
      <c r="I78" s="111"/>
    </row>
    <row r="79" spans="2:9" ht="16.5" hidden="1" customHeight="1" x14ac:dyDescent="0.25">
      <c r="B79" s="76"/>
      <c r="C79" s="226"/>
      <c r="D79" s="32" t="s">
        <v>145</v>
      </c>
      <c r="E79" s="172">
        <v>461600000</v>
      </c>
      <c r="F79" s="221">
        <v>461600000</v>
      </c>
      <c r="G79" s="235">
        <f t="shared" si="3"/>
        <v>100</v>
      </c>
      <c r="H79" s="235">
        <v>100</v>
      </c>
      <c r="I79" s="111"/>
    </row>
    <row r="80" spans="2:9" ht="16.5" hidden="1" customHeight="1" x14ac:dyDescent="0.25">
      <c r="B80" s="76"/>
      <c r="C80" s="226"/>
      <c r="D80" s="32" t="s">
        <v>146</v>
      </c>
      <c r="E80" s="172">
        <v>488700000</v>
      </c>
      <c r="F80" s="221">
        <v>487958600</v>
      </c>
      <c r="G80" s="235">
        <f t="shared" si="3"/>
        <v>99.848291385307959</v>
      </c>
      <c r="H80" s="235">
        <v>100</v>
      </c>
      <c r="I80" s="111"/>
    </row>
    <row r="81" spans="2:9" ht="16.5" hidden="1" customHeight="1" x14ac:dyDescent="0.25">
      <c r="B81" s="76"/>
      <c r="C81" s="226"/>
      <c r="D81" s="32" t="s">
        <v>147</v>
      </c>
      <c r="E81" s="172">
        <v>500000000</v>
      </c>
      <c r="F81" s="221">
        <v>500000000</v>
      </c>
      <c r="G81" s="235">
        <f t="shared" si="3"/>
        <v>100</v>
      </c>
      <c r="H81" s="235">
        <f t="shared" ref="H81:H132" si="4">+G81</f>
        <v>100</v>
      </c>
      <c r="I81" s="111"/>
    </row>
    <row r="82" spans="2:9" ht="16.5" hidden="1" customHeight="1" x14ac:dyDescent="0.25">
      <c r="B82" s="76"/>
      <c r="C82" s="226"/>
      <c r="D82" s="32" t="s">
        <v>148</v>
      </c>
      <c r="E82" s="172">
        <v>500000000</v>
      </c>
      <c r="F82" s="221">
        <v>500000000</v>
      </c>
      <c r="G82" s="235">
        <f t="shared" si="3"/>
        <v>100</v>
      </c>
      <c r="H82" s="235">
        <f t="shared" si="4"/>
        <v>100</v>
      </c>
      <c r="I82" s="111"/>
    </row>
    <row r="83" spans="2:9" ht="16.5" hidden="1" customHeight="1" x14ac:dyDescent="0.25">
      <c r="B83" s="76"/>
      <c r="C83" s="226"/>
      <c r="D83" s="32" t="s">
        <v>149</v>
      </c>
      <c r="E83" s="172">
        <v>400000000</v>
      </c>
      <c r="F83" s="221">
        <v>400000000</v>
      </c>
      <c r="G83" s="235">
        <f t="shared" si="3"/>
        <v>100</v>
      </c>
      <c r="H83" s="235">
        <f t="shared" si="4"/>
        <v>100</v>
      </c>
      <c r="I83" s="111"/>
    </row>
    <row r="84" spans="2:9" ht="16.5" hidden="1" customHeight="1" x14ac:dyDescent="0.25">
      <c r="B84" s="76"/>
      <c r="C84" s="226"/>
      <c r="D84" s="32"/>
      <c r="E84" s="172"/>
      <c r="F84" s="108"/>
      <c r="G84" s="235"/>
      <c r="H84" s="110"/>
      <c r="I84" s="111"/>
    </row>
    <row r="85" spans="2:9" s="115" customFormat="1" ht="16.5" hidden="1" customHeight="1" x14ac:dyDescent="0.25">
      <c r="B85" s="157"/>
      <c r="C85" s="222"/>
      <c r="D85" s="48" t="s">
        <v>150</v>
      </c>
      <c r="E85" s="112">
        <f>+E86+E88+E91+E101+E103+E110+E112+E114+E117+E129+E131+E133+E137+E148+E152+E156+E158</f>
        <v>61500000000</v>
      </c>
      <c r="F85" s="220">
        <f>+F86+F88+F91+F101+F103+F110+F114+F112+F117+F129+F131+F133+F137+F148+F152+F156</f>
        <v>49746587743</v>
      </c>
      <c r="G85" s="110">
        <f>+F85/E85*100</f>
        <v>80.888760557723586</v>
      </c>
      <c r="H85" s="110">
        <f t="shared" si="4"/>
        <v>80.888760557723586</v>
      </c>
      <c r="I85" s="121"/>
    </row>
    <row r="86" spans="2:9" s="115" customFormat="1" ht="16.5" hidden="1" customHeight="1" x14ac:dyDescent="0.25">
      <c r="B86" s="157"/>
      <c r="C86" s="222"/>
      <c r="D86" s="48" t="s">
        <v>151</v>
      </c>
      <c r="E86" s="112">
        <v>20547000000</v>
      </c>
      <c r="F86" s="220">
        <f>+F87</f>
        <v>14318810000</v>
      </c>
      <c r="G86" s="110">
        <f>F86/E86*100</f>
        <v>69.688080985058647</v>
      </c>
      <c r="H86" s="110">
        <f>H87</f>
        <v>75</v>
      </c>
      <c r="I86" s="121"/>
    </row>
    <row r="87" spans="2:9" ht="16.5" hidden="1" customHeight="1" x14ac:dyDescent="0.25">
      <c r="B87" s="76"/>
      <c r="C87" s="226"/>
      <c r="D87" s="32" t="s">
        <v>152</v>
      </c>
      <c r="E87" s="172">
        <v>20547000000</v>
      </c>
      <c r="F87" s="221">
        <v>14318810000</v>
      </c>
      <c r="G87" s="235">
        <f t="shared" ref="G87:G118" si="5">+F87/E87*100</f>
        <v>69.688080985058647</v>
      </c>
      <c r="H87" s="235">
        <v>75</v>
      </c>
      <c r="I87" s="111"/>
    </row>
    <row r="88" spans="2:9" s="115" customFormat="1" ht="16.5" hidden="1" customHeight="1" x14ac:dyDescent="0.25">
      <c r="B88" s="157"/>
      <c r="C88" s="222"/>
      <c r="D88" s="48" t="s">
        <v>153</v>
      </c>
      <c r="E88" s="112">
        <v>1820500000</v>
      </c>
      <c r="F88" s="220">
        <f>+F89+F90</f>
        <v>1510173306</v>
      </c>
      <c r="G88" s="110">
        <f t="shared" si="5"/>
        <v>82.953765778632246</v>
      </c>
      <c r="H88" s="110">
        <f>SUM((H89:H90))/2</f>
        <v>85</v>
      </c>
      <c r="I88" s="121"/>
    </row>
    <row r="89" spans="2:9" ht="16.5" hidden="1" customHeight="1" x14ac:dyDescent="0.25">
      <c r="B89" s="76"/>
      <c r="C89" s="226"/>
      <c r="D89" s="32" t="s">
        <v>154</v>
      </c>
      <c r="E89" s="172">
        <v>866000000</v>
      </c>
      <c r="F89" s="221">
        <v>578154400</v>
      </c>
      <c r="G89" s="235">
        <f t="shared" si="5"/>
        <v>66.761478060046187</v>
      </c>
      <c r="H89" s="235">
        <v>70</v>
      </c>
      <c r="I89" s="111"/>
    </row>
    <row r="90" spans="2:9" ht="16.5" hidden="1" customHeight="1" x14ac:dyDescent="0.25">
      <c r="B90" s="76"/>
      <c r="C90" s="226"/>
      <c r="D90" s="32" t="s">
        <v>155</v>
      </c>
      <c r="E90" s="172">
        <v>954500000</v>
      </c>
      <c r="F90" s="221">
        <v>932018906</v>
      </c>
      <c r="G90" s="235">
        <f t="shared" si="5"/>
        <v>97.644725615505507</v>
      </c>
      <c r="H90" s="235">
        <v>100</v>
      </c>
      <c r="I90" s="111"/>
    </row>
    <row r="91" spans="2:9" s="115" customFormat="1" ht="16.5" hidden="1" customHeight="1" x14ac:dyDescent="0.25">
      <c r="B91" s="157"/>
      <c r="C91" s="222"/>
      <c r="D91" s="48" t="s">
        <v>156</v>
      </c>
      <c r="E91" s="112">
        <v>4057932507</v>
      </c>
      <c r="F91" s="220">
        <f>SUM(F92:F100)</f>
        <v>3584707072</v>
      </c>
      <c r="G91" s="110">
        <f t="shared" si="5"/>
        <v>88.338262546661923</v>
      </c>
      <c r="H91" s="110">
        <f>SUM((H92:H100))/9</f>
        <v>92.222222222222229</v>
      </c>
      <c r="I91" s="121"/>
    </row>
    <row r="92" spans="2:9" ht="16.5" hidden="1" customHeight="1" x14ac:dyDescent="0.25">
      <c r="B92" s="76"/>
      <c r="C92" s="226"/>
      <c r="D92" s="32" t="s">
        <v>157</v>
      </c>
      <c r="E92" s="172">
        <v>459645000</v>
      </c>
      <c r="F92" s="221">
        <v>394949340</v>
      </c>
      <c r="G92" s="235">
        <f t="shared" si="5"/>
        <v>85.924863753548934</v>
      </c>
      <c r="H92" s="235">
        <v>90</v>
      </c>
      <c r="I92" s="111"/>
    </row>
    <row r="93" spans="2:9" ht="39.75" hidden="1" customHeight="1" x14ac:dyDescent="0.25">
      <c r="B93" s="76"/>
      <c r="C93" s="226"/>
      <c r="D93" s="118" t="s">
        <v>158</v>
      </c>
      <c r="E93" s="172">
        <v>360750000</v>
      </c>
      <c r="F93" s="221">
        <v>258392400</v>
      </c>
      <c r="G93" s="235">
        <f t="shared" si="5"/>
        <v>71.626444906444902</v>
      </c>
      <c r="H93" s="235">
        <v>75</v>
      </c>
      <c r="I93" s="111"/>
    </row>
    <row r="94" spans="2:9" ht="16.5" hidden="1" customHeight="1" x14ac:dyDescent="0.25">
      <c r="B94" s="76"/>
      <c r="C94" s="226"/>
      <c r="D94" s="32" t="s">
        <v>159</v>
      </c>
      <c r="E94" s="172">
        <v>1476262880</v>
      </c>
      <c r="F94" s="221">
        <v>1370512945</v>
      </c>
      <c r="G94" s="235">
        <f t="shared" si="5"/>
        <v>92.836646072141292</v>
      </c>
      <c r="H94" s="235">
        <v>100</v>
      </c>
      <c r="I94" s="111"/>
    </row>
    <row r="95" spans="2:9" ht="16.5" hidden="1" customHeight="1" x14ac:dyDescent="0.25">
      <c r="B95" s="76"/>
      <c r="C95" s="226"/>
      <c r="D95" s="32" t="s">
        <v>160</v>
      </c>
      <c r="E95" s="172">
        <v>410243320</v>
      </c>
      <c r="F95" s="221">
        <v>395177943</v>
      </c>
      <c r="G95" s="235">
        <f t="shared" si="5"/>
        <v>96.327697182247846</v>
      </c>
      <c r="H95" s="235">
        <v>100</v>
      </c>
      <c r="I95" s="111"/>
    </row>
    <row r="96" spans="2:9" ht="16.5" hidden="1" customHeight="1" x14ac:dyDescent="0.25">
      <c r="B96" s="76"/>
      <c r="C96" s="226"/>
      <c r="D96" s="32" t="s">
        <v>161</v>
      </c>
      <c r="E96" s="172">
        <v>424473600</v>
      </c>
      <c r="F96" s="221">
        <v>260892604</v>
      </c>
      <c r="G96" s="235">
        <f t="shared" si="5"/>
        <v>61.462621939267834</v>
      </c>
      <c r="H96" s="235">
        <v>65</v>
      </c>
      <c r="I96" s="111"/>
    </row>
    <row r="97" spans="2:9" ht="16.5" hidden="1" customHeight="1" x14ac:dyDescent="0.25">
      <c r="B97" s="76"/>
      <c r="C97" s="226"/>
      <c r="D97" s="32" t="s">
        <v>162</v>
      </c>
      <c r="E97" s="172">
        <v>417915000</v>
      </c>
      <c r="F97" s="221">
        <v>414190000</v>
      </c>
      <c r="G97" s="235">
        <f t="shared" si="5"/>
        <v>99.108670423411453</v>
      </c>
      <c r="H97" s="235">
        <v>100</v>
      </c>
      <c r="I97" s="111"/>
    </row>
    <row r="98" spans="2:9" ht="16.5" hidden="1" customHeight="1" x14ac:dyDescent="0.25">
      <c r="B98" s="76"/>
      <c r="C98" s="226"/>
      <c r="D98" s="32" t="s">
        <v>163</v>
      </c>
      <c r="E98" s="172">
        <v>107112000</v>
      </c>
      <c r="F98" s="221">
        <v>107082460</v>
      </c>
      <c r="G98" s="235">
        <f t="shared" si="5"/>
        <v>99.972421390693853</v>
      </c>
      <c r="H98" s="235">
        <v>100</v>
      </c>
      <c r="I98" s="111"/>
    </row>
    <row r="99" spans="2:9" ht="16.5" hidden="1" customHeight="1" x14ac:dyDescent="0.25">
      <c r="B99" s="76"/>
      <c r="C99" s="226"/>
      <c r="D99" s="32" t="s">
        <v>164</v>
      </c>
      <c r="E99" s="172">
        <v>158600000</v>
      </c>
      <c r="F99" s="221">
        <v>150744500</v>
      </c>
      <c r="G99" s="235">
        <f t="shared" si="5"/>
        <v>95.046973518285</v>
      </c>
      <c r="H99" s="235">
        <v>100</v>
      </c>
      <c r="I99" s="111"/>
    </row>
    <row r="100" spans="2:9" ht="16.5" hidden="1" customHeight="1" x14ac:dyDescent="0.25">
      <c r="B100" s="76"/>
      <c r="C100" s="226"/>
      <c r="D100" s="32" t="s">
        <v>165</v>
      </c>
      <c r="E100" s="172">
        <v>242930707</v>
      </c>
      <c r="F100" s="221">
        <v>232764880</v>
      </c>
      <c r="G100" s="235">
        <f t="shared" si="5"/>
        <v>95.815338815936514</v>
      </c>
      <c r="H100" s="235">
        <v>100</v>
      </c>
      <c r="I100" s="111"/>
    </row>
    <row r="101" spans="2:9" s="115" customFormat="1" ht="16.5" hidden="1" customHeight="1" x14ac:dyDescent="0.25">
      <c r="B101" s="157"/>
      <c r="C101" s="222"/>
      <c r="D101" s="48" t="s">
        <v>166</v>
      </c>
      <c r="E101" s="112">
        <v>433166000</v>
      </c>
      <c r="F101" s="220">
        <f>+F102</f>
        <v>325331040</v>
      </c>
      <c r="G101" s="110">
        <f t="shared" si="5"/>
        <v>75.105396083718475</v>
      </c>
      <c r="H101" s="110">
        <f>H102</f>
        <v>80</v>
      </c>
      <c r="I101" s="121"/>
    </row>
    <row r="102" spans="2:9" ht="16.5" hidden="1" customHeight="1" x14ac:dyDescent="0.25">
      <c r="B102" s="76"/>
      <c r="C102" s="226"/>
      <c r="D102" s="32" t="s">
        <v>167</v>
      </c>
      <c r="E102" s="172">
        <v>433166000</v>
      </c>
      <c r="F102" s="221">
        <v>325331040</v>
      </c>
      <c r="G102" s="235">
        <f t="shared" si="5"/>
        <v>75.105396083718475</v>
      </c>
      <c r="H102" s="235">
        <v>80</v>
      </c>
      <c r="I102" s="111"/>
    </row>
    <row r="103" spans="2:9" s="115" customFormat="1" ht="16.5" hidden="1" customHeight="1" x14ac:dyDescent="0.25">
      <c r="B103" s="157"/>
      <c r="C103" s="222"/>
      <c r="D103" s="48" t="s">
        <v>168</v>
      </c>
      <c r="E103" s="112">
        <v>479658326</v>
      </c>
      <c r="F103" s="220">
        <f>SUM(F104:F109)</f>
        <v>341920000</v>
      </c>
      <c r="G103" s="110">
        <f t="shared" si="5"/>
        <v>71.284074822877159</v>
      </c>
      <c r="H103" s="110">
        <f>SUM((H104:H109))/6</f>
        <v>74.166666666666671</v>
      </c>
      <c r="I103" s="121"/>
    </row>
    <row r="104" spans="2:9" ht="16.5" hidden="1" customHeight="1" x14ac:dyDescent="0.25">
      <c r="B104" s="76"/>
      <c r="C104" s="226"/>
      <c r="D104" s="32" t="s">
        <v>169</v>
      </c>
      <c r="E104" s="172">
        <v>125000000</v>
      </c>
      <c r="F104" s="221">
        <v>122391500</v>
      </c>
      <c r="G104" s="235">
        <f t="shared" si="5"/>
        <v>97.913200000000003</v>
      </c>
      <c r="H104" s="235">
        <v>100</v>
      </c>
      <c r="I104" s="111"/>
    </row>
    <row r="105" spans="2:9" ht="16.5" hidden="1" customHeight="1" x14ac:dyDescent="0.25">
      <c r="B105" s="76"/>
      <c r="C105" s="226"/>
      <c r="D105" s="32" t="s">
        <v>170</v>
      </c>
      <c r="E105" s="172">
        <v>102600000</v>
      </c>
      <c r="F105" s="221">
        <v>83096000</v>
      </c>
      <c r="G105" s="235">
        <f t="shared" si="5"/>
        <v>80.990253411306043</v>
      </c>
      <c r="H105" s="235">
        <v>85</v>
      </c>
      <c r="I105" s="111"/>
    </row>
    <row r="106" spans="2:9" ht="16.5" hidden="1" customHeight="1" x14ac:dyDescent="0.25">
      <c r="B106" s="76"/>
      <c r="C106" s="226"/>
      <c r="D106" s="32" t="s">
        <v>171</v>
      </c>
      <c r="E106" s="172">
        <v>69533326</v>
      </c>
      <c r="F106" s="221">
        <v>42032500</v>
      </c>
      <c r="G106" s="235">
        <f t="shared" si="5"/>
        <v>60.449431111637033</v>
      </c>
      <c r="H106" s="235">
        <v>65</v>
      </c>
      <c r="I106" s="111"/>
    </row>
    <row r="107" spans="2:9" ht="16.5" hidden="1" customHeight="1" x14ac:dyDescent="0.25">
      <c r="B107" s="76"/>
      <c r="C107" s="226"/>
      <c r="D107" s="32" t="s">
        <v>172</v>
      </c>
      <c r="E107" s="172">
        <v>59400000</v>
      </c>
      <c r="F107" s="221">
        <v>59400000</v>
      </c>
      <c r="G107" s="235">
        <f t="shared" si="5"/>
        <v>100</v>
      </c>
      <c r="H107" s="235">
        <v>100</v>
      </c>
      <c r="I107" s="111"/>
    </row>
    <row r="108" spans="2:9" ht="16.5" hidden="1" customHeight="1" x14ac:dyDescent="0.25">
      <c r="B108" s="76"/>
      <c r="C108" s="226"/>
      <c r="D108" s="32" t="s">
        <v>173</v>
      </c>
      <c r="E108" s="172">
        <v>84500000</v>
      </c>
      <c r="F108" s="221">
        <v>0</v>
      </c>
      <c r="G108" s="235">
        <f t="shared" si="5"/>
        <v>0</v>
      </c>
      <c r="H108" s="235">
        <v>0</v>
      </c>
      <c r="I108" s="111"/>
    </row>
    <row r="109" spans="2:9" ht="16.5" hidden="1" customHeight="1" x14ac:dyDescent="0.25">
      <c r="B109" s="76"/>
      <c r="C109" s="226"/>
      <c r="D109" s="32" t="s">
        <v>174</v>
      </c>
      <c r="E109" s="172">
        <v>38625000</v>
      </c>
      <c r="F109" s="221">
        <v>35000000</v>
      </c>
      <c r="G109" s="235">
        <f t="shared" si="5"/>
        <v>90.614886731391593</v>
      </c>
      <c r="H109" s="235">
        <v>95</v>
      </c>
      <c r="I109" s="111"/>
    </row>
    <row r="110" spans="2:9" s="115" customFormat="1" ht="16.5" hidden="1" customHeight="1" x14ac:dyDescent="0.25">
      <c r="B110" s="157"/>
      <c r="C110" s="222"/>
      <c r="D110" s="48" t="s">
        <v>175</v>
      </c>
      <c r="E110" s="112">
        <v>402397000</v>
      </c>
      <c r="F110" s="220">
        <f>SUM(F111)</f>
        <v>256528300</v>
      </c>
      <c r="G110" s="110">
        <f t="shared" si="5"/>
        <v>63.750052808544801</v>
      </c>
      <c r="H110" s="110">
        <f>H111</f>
        <v>65</v>
      </c>
      <c r="I110" s="121"/>
    </row>
    <row r="111" spans="2:9" ht="16.5" hidden="1" customHeight="1" x14ac:dyDescent="0.25">
      <c r="B111" s="76"/>
      <c r="C111" s="226"/>
      <c r="D111" s="32" t="s">
        <v>176</v>
      </c>
      <c r="E111" s="172">
        <v>402397000</v>
      </c>
      <c r="F111" s="221">
        <v>256528300</v>
      </c>
      <c r="G111" s="235">
        <f t="shared" si="5"/>
        <v>63.750052808544801</v>
      </c>
      <c r="H111" s="235">
        <v>65</v>
      </c>
      <c r="I111" s="111"/>
    </row>
    <row r="112" spans="2:9" s="115" customFormat="1" ht="16.5" hidden="1" customHeight="1" x14ac:dyDescent="0.25">
      <c r="B112" s="157"/>
      <c r="C112" s="222"/>
      <c r="D112" s="48" t="s">
        <v>177</v>
      </c>
      <c r="E112" s="112">
        <v>266030500</v>
      </c>
      <c r="F112" s="220">
        <v>0</v>
      </c>
      <c r="G112" s="110">
        <f t="shared" si="5"/>
        <v>0</v>
      </c>
      <c r="H112" s="235">
        <f t="shared" si="4"/>
        <v>0</v>
      </c>
      <c r="I112" s="121"/>
    </row>
    <row r="113" spans="2:9" ht="16.5" hidden="1" customHeight="1" x14ac:dyDescent="0.25">
      <c r="B113" s="76"/>
      <c r="C113" s="226"/>
      <c r="D113" s="32" t="s">
        <v>178</v>
      </c>
      <c r="E113" s="172">
        <v>266030500</v>
      </c>
      <c r="F113" s="221">
        <v>0</v>
      </c>
      <c r="G113" s="235">
        <f t="shared" si="5"/>
        <v>0</v>
      </c>
      <c r="H113" s="235">
        <f t="shared" si="4"/>
        <v>0</v>
      </c>
      <c r="I113" s="111"/>
    </row>
    <row r="114" spans="2:9" s="115" customFormat="1" ht="16.5" hidden="1" customHeight="1" x14ac:dyDescent="0.25">
      <c r="B114" s="157"/>
      <c r="C114" s="222"/>
      <c r="D114" s="48" t="s">
        <v>179</v>
      </c>
      <c r="E114" s="112">
        <v>481025000</v>
      </c>
      <c r="F114" s="220">
        <f>+F115+F116</f>
        <v>210390980</v>
      </c>
      <c r="G114" s="110">
        <f t="shared" si="5"/>
        <v>43.738055194636452</v>
      </c>
      <c r="H114" s="110">
        <f>SUM((H115:H116))/2</f>
        <v>27.879279136023321</v>
      </c>
      <c r="I114" s="121"/>
    </row>
    <row r="115" spans="2:9" ht="16.5" hidden="1" customHeight="1" x14ac:dyDescent="0.25">
      <c r="B115" s="76"/>
      <c r="C115" s="226"/>
      <c r="D115" s="32" t="s">
        <v>180</v>
      </c>
      <c r="E115" s="172">
        <v>377325000</v>
      </c>
      <c r="F115" s="221">
        <v>210390980</v>
      </c>
      <c r="G115" s="235">
        <f t="shared" si="5"/>
        <v>55.758558272046642</v>
      </c>
      <c r="H115" s="235">
        <f t="shared" si="4"/>
        <v>55.758558272046642</v>
      </c>
      <c r="I115" s="111"/>
    </row>
    <row r="116" spans="2:9" ht="16.5" hidden="1" customHeight="1" x14ac:dyDescent="0.25">
      <c r="B116" s="76"/>
      <c r="C116" s="226"/>
      <c r="D116" s="32" t="s">
        <v>181</v>
      </c>
      <c r="E116" s="172">
        <v>103700000</v>
      </c>
      <c r="F116" s="221">
        <v>0</v>
      </c>
      <c r="G116" s="235">
        <f t="shared" si="5"/>
        <v>0</v>
      </c>
      <c r="H116" s="235">
        <f t="shared" si="4"/>
        <v>0</v>
      </c>
      <c r="I116" s="111"/>
    </row>
    <row r="117" spans="2:9" s="115" customFormat="1" ht="16.5" hidden="1" customHeight="1" x14ac:dyDescent="0.25">
      <c r="B117" s="157"/>
      <c r="C117" s="222"/>
      <c r="D117" s="48" t="s">
        <v>182</v>
      </c>
      <c r="E117" s="112">
        <v>2272658000</v>
      </c>
      <c r="F117" s="220">
        <f>SUM(F118:F128)</f>
        <v>2000340085</v>
      </c>
      <c r="G117" s="110">
        <f t="shared" si="5"/>
        <v>88.01764651786587</v>
      </c>
      <c r="H117" s="110">
        <f>SUM((H118:H128))/11</f>
        <v>164.09090909090909</v>
      </c>
      <c r="I117" s="121"/>
    </row>
    <row r="118" spans="2:9" ht="16.5" hidden="1" customHeight="1" x14ac:dyDescent="0.25">
      <c r="B118" s="76"/>
      <c r="C118" s="226"/>
      <c r="D118" s="32" t="s">
        <v>183</v>
      </c>
      <c r="E118" s="172">
        <v>400000000</v>
      </c>
      <c r="F118" s="221">
        <v>298329559</v>
      </c>
      <c r="G118" s="235">
        <f t="shared" si="5"/>
        <v>74.582389750000004</v>
      </c>
      <c r="H118" s="235">
        <v>80</v>
      </c>
      <c r="I118" s="111"/>
    </row>
    <row r="119" spans="2:9" ht="16.5" hidden="1" customHeight="1" x14ac:dyDescent="0.25">
      <c r="B119" s="76"/>
      <c r="C119" s="226"/>
      <c r="D119" s="32" t="s">
        <v>184</v>
      </c>
      <c r="E119" s="172">
        <v>115800000</v>
      </c>
      <c r="F119" s="221">
        <v>115649200</v>
      </c>
      <c r="G119" s="235">
        <f t="shared" ref="G119:G150" si="6">+F119/E119*100</f>
        <v>99.869775474956825</v>
      </c>
      <c r="H119" s="235">
        <v>100</v>
      </c>
      <c r="I119" s="111"/>
    </row>
    <row r="120" spans="2:9" ht="16.5" hidden="1" customHeight="1" x14ac:dyDescent="0.25">
      <c r="B120" s="76"/>
      <c r="C120" s="226"/>
      <c r="D120" s="32" t="s">
        <v>185</v>
      </c>
      <c r="E120" s="172">
        <v>330000000</v>
      </c>
      <c r="F120" s="221">
        <v>302700669</v>
      </c>
      <c r="G120" s="235">
        <f t="shared" si="6"/>
        <v>91.727475454545456</v>
      </c>
      <c r="H120" s="235">
        <v>100</v>
      </c>
      <c r="I120" s="111"/>
    </row>
    <row r="121" spans="2:9" ht="16.5" hidden="1" customHeight="1" x14ac:dyDescent="0.25">
      <c r="B121" s="76"/>
      <c r="C121" s="226"/>
      <c r="D121" s="32" t="s">
        <v>186</v>
      </c>
      <c r="E121" s="172">
        <v>115435000</v>
      </c>
      <c r="F121" s="221">
        <v>114633000</v>
      </c>
      <c r="G121" s="235">
        <f t="shared" si="6"/>
        <v>99.305236713301852</v>
      </c>
      <c r="H121" s="235">
        <v>100</v>
      </c>
      <c r="I121" s="111"/>
    </row>
    <row r="122" spans="2:9" ht="16.5" hidden="1" customHeight="1" x14ac:dyDescent="0.25">
      <c r="B122" s="76"/>
      <c r="C122" s="226"/>
      <c r="D122" s="32" t="s">
        <v>187</v>
      </c>
      <c r="E122" s="172">
        <v>155000000</v>
      </c>
      <c r="F122" s="221">
        <v>152202047</v>
      </c>
      <c r="G122" s="235">
        <f t="shared" si="6"/>
        <v>98.194869032258069</v>
      </c>
      <c r="H122" s="235">
        <v>100</v>
      </c>
      <c r="I122" s="111"/>
    </row>
    <row r="123" spans="2:9" ht="16.5" hidden="1" customHeight="1" x14ac:dyDescent="0.25">
      <c r="B123" s="76"/>
      <c r="C123" s="226"/>
      <c r="D123" s="32" t="s">
        <v>188</v>
      </c>
      <c r="E123" s="172">
        <v>116500000</v>
      </c>
      <c r="F123" s="221">
        <v>98906384</v>
      </c>
      <c r="G123" s="235">
        <f t="shared" si="6"/>
        <v>84.898183690987125</v>
      </c>
      <c r="H123" s="235">
        <v>85</v>
      </c>
      <c r="I123" s="111"/>
    </row>
    <row r="124" spans="2:9" ht="16.5" hidden="1" customHeight="1" x14ac:dyDescent="0.25">
      <c r="B124" s="76"/>
      <c r="C124" s="226"/>
      <c r="D124" s="32" t="s">
        <v>189</v>
      </c>
      <c r="E124" s="172">
        <v>103129000</v>
      </c>
      <c r="F124" s="221">
        <v>102939027</v>
      </c>
      <c r="G124" s="235">
        <f t="shared" si="6"/>
        <v>99.815790902655905</v>
      </c>
      <c r="H124" s="235">
        <v>100</v>
      </c>
      <c r="I124" s="111"/>
    </row>
    <row r="125" spans="2:9" ht="16.5" hidden="1" customHeight="1" x14ac:dyDescent="0.25">
      <c r="B125" s="76"/>
      <c r="C125" s="226"/>
      <c r="D125" s="32" t="s">
        <v>190</v>
      </c>
      <c r="E125" s="172">
        <v>400000000</v>
      </c>
      <c r="F125" s="221">
        <v>321709800</v>
      </c>
      <c r="G125" s="235">
        <f t="shared" si="6"/>
        <v>80.427449999999993</v>
      </c>
      <c r="H125" s="235">
        <v>850</v>
      </c>
      <c r="I125" s="111"/>
    </row>
    <row r="126" spans="2:9" ht="16.5" hidden="1" customHeight="1" x14ac:dyDescent="0.25">
      <c r="B126" s="76"/>
      <c r="C126" s="226"/>
      <c r="D126" s="32" t="s">
        <v>191</v>
      </c>
      <c r="E126" s="172">
        <v>333569000</v>
      </c>
      <c r="F126" s="221">
        <v>290810760</v>
      </c>
      <c r="G126" s="235">
        <f t="shared" si="6"/>
        <v>87.181590615434885</v>
      </c>
      <c r="H126" s="235">
        <v>90</v>
      </c>
      <c r="I126" s="111"/>
    </row>
    <row r="127" spans="2:9" ht="16.5" hidden="1" customHeight="1" x14ac:dyDescent="0.25">
      <c r="B127" s="76"/>
      <c r="C127" s="226"/>
      <c r="D127" s="32" t="s">
        <v>192</v>
      </c>
      <c r="E127" s="172">
        <v>103225000</v>
      </c>
      <c r="F127" s="221">
        <v>102531300</v>
      </c>
      <c r="G127" s="235">
        <f t="shared" si="6"/>
        <v>99.327972874788088</v>
      </c>
      <c r="H127" s="235">
        <v>100</v>
      </c>
      <c r="I127" s="111"/>
    </row>
    <row r="128" spans="2:9" ht="16.5" hidden="1" customHeight="1" x14ac:dyDescent="0.25">
      <c r="B128" s="76"/>
      <c r="C128" s="226"/>
      <c r="D128" s="32" t="s">
        <v>193</v>
      </c>
      <c r="E128" s="172">
        <v>100000000</v>
      </c>
      <c r="F128" s="221">
        <v>99928339</v>
      </c>
      <c r="G128" s="235">
        <f t="shared" si="6"/>
        <v>99.928338999999994</v>
      </c>
      <c r="H128" s="235">
        <v>100</v>
      </c>
      <c r="I128" s="111"/>
    </row>
    <row r="129" spans="2:9" s="115" customFormat="1" ht="16.5" hidden="1" customHeight="1" x14ac:dyDescent="0.25">
      <c r="B129" s="157"/>
      <c r="C129" s="222"/>
      <c r="D129" s="48" t="s">
        <v>194</v>
      </c>
      <c r="E129" s="112">
        <v>5270000000</v>
      </c>
      <c r="F129" s="220">
        <f>SUM(F130:F132)</f>
        <v>4918919645</v>
      </c>
      <c r="G129" s="110">
        <f t="shared" si="6"/>
        <v>93.338133681214416</v>
      </c>
      <c r="H129" s="110">
        <f>H130</f>
        <v>95</v>
      </c>
      <c r="I129" s="121"/>
    </row>
    <row r="130" spans="2:9" ht="16.5" hidden="1" customHeight="1" x14ac:dyDescent="0.25">
      <c r="B130" s="76"/>
      <c r="C130" s="226"/>
      <c r="D130" s="32" t="s">
        <v>195</v>
      </c>
      <c r="E130" s="172">
        <v>5270000000</v>
      </c>
      <c r="F130" s="221">
        <v>4918919645</v>
      </c>
      <c r="G130" s="235">
        <f t="shared" si="6"/>
        <v>93.338133681214416</v>
      </c>
      <c r="H130" s="235">
        <v>95</v>
      </c>
      <c r="I130" s="111"/>
    </row>
    <row r="131" spans="2:9" s="115" customFormat="1" ht="16.5" hidden="1" customHeight="1" x14ac:dyDescent="0.25">
      <c r="B131" s="157"/>
      <c r="C131" s="222"/>
      <c r="D131" s="48" t="s">
        <v>196</v>
      </c>
      <c r="E131" s="112">
        <v>254169500</v>
      </c>
      <c r="F131" s="221">
        <v>0</v>
      </c>
      <c r="G131" s="110">
        <f t="shared" si="6"/>
        <v>0</v>
      </c>
      <c r="H131" s="235">
        <f>H132</f>
        <v>0</v>
      </c>
      <c r="I131" s="121"/>
    </row>
    <row r="132" spans="2:9" ht="16.5" hidden="1" customHeight="1" x14ac:dyDescent="0.25">
      <c r="B132" s="76"/>
      <c r="C132" s="226"/>
      <c r="D132" s="32" t="s">
        <v>197</v>
      </c>
      <c r="E132" s="172">
        <v>254169500</v>
      </c>
      <c r="F132" s="221">
        <v>0</v>
      </c>
      <c r="G132" s="235">
        <f t="shared" si="6"/>
        <v>0</v>
      </c>
      <c r="H132" s="235">
        <f t="shared" si="4"/>
        <v>0</v>
      </c>
      <c r="I132" s="111"/>
    </row>
    <row r="133" spans="2:9" s="115" customFormat="1" ht="16.5" hidden="1" customHeight="1" x14ac:dyDescent="0.25">
      <c r="B133" s="157"/>
      <c r="C133" s="222"/>
      <c r="D133" s="48" t="s">
        <v>198</v>
      </c>
      <c r="E133" s="112">
        <v>1587724753</v>
      </c>
      <c r="F133" s="220">
        <f>SUM(F134:F136)</f>
        <v>1553001983</v>
      </c>
      <c r="G133" s="110">
        <f t="shared" si="6"/>
        <v>97.813048518996041</v>
      </c>
      <c r="H133" s="110">
        <f>SUM((H134:H136))/3</f>
        <v>100</v>
      </c>
      <c r="I133" s="121"/>
    </row>
    <row r="134" spans="2:9" ht="16.5" hidden="1" customHeight="1" x14ac:dyDescent="0.25">
      <c r="B134" s="76"/>
      <c r="C134" s="226"/>
      <c r="D134" s="32" t="s">
        <v>199</v>
      </c>
      <c r="E134" s="172">
        <v>389900000</v>
      </c>
      <c r="F134" s="221">
        <v>386937183</v>
      </c>
      <c r="G134" s="235">
        <f t="shared" si="6"/>
        <v>99.240108489356246</v>
      </c>
      <c r="H134" s="235">
        <v>100</v>
      </c>
      <c r="I134" s="111"/>
    </row>
    <row r="135" spans="2:9" ht="16.5" hidden="1" customHeight="1" x14ac:dyDescent="0.25">
      <c r="B135" s="76"/>
      <c r="C135" s="226"/>
      <c r="D135" s="32" t="s">
        <v>200</v>
      </c>
      <c r="E135" s="172">
        <v>1124297403</v>
      </c>
      <c r="F135" s="221">
        <v>1093637500</v>
      </c>
      <c r="G135" s="235">
        <f t="shared" si="6"/>
        <v>97.272972176384187</v>
      </c>
      <c r="H135" s="235">
        <v>100</v>
      </c>
      <c r="I135" s="111"/>
    </row>
    <row r="136" spans="2:9" ht="16.5" hidden="1" customHeight="1" x14ac:dyDescent="0.25">
      <c r="B136" s="76"/>
      <c r="C136" s="226"/>
      <c r="D136" s="32" t="s">
        <v>201</v>
      </c>
      <c r="E136" s="172">
        <v>73527350</v>
      </c>
      <c r="F136" s="221">
        <v>72427300</v>
      </c>
      <c r="G136" s="235">
        <f t="shared" si="6"/>
        <v>98.503890049076986</v>
      </c>
      <c r="H136" s="235">
        <v>100</v>
      </c>
      <c r="I136" s="111"/>
    </row>
    <row r="137" spans="2:9" s="115" customFormat="1" ht="16.5" hidden="1" customHeight="1" x14ac:dyDescent="0.25">
      <c r="B137" s="157"/>
      <c r="C137" s="222"/>
      <c r="D137" s="48" t="s">
        <v>202</v>
      </c>
      <c r="E137" s="112">
        <v>17109928250</v>
      </c>
      <c r="F137" s="220">
        <f>SUM(F138:F147)</f>
        <v>15492357192</v>
      </c>
      <c r="G137" s="110">
        <f t="shared" si="6"/>
        <v>90.546009110236909</v>
      </c>
      <c r="H137" s="110">
        <f>SUM((H138:H147))/10</f>
        <v>77</v>
      </c>
      <c r="I137" s="121"/>
    </row>
    <row r="138" spans="2:9" ht="16.5" hidden="1" customHeight="1" x14ac:dyDescent="0.25">
      <c r="B138" s="76"/>
      <c r="C138" s="226"/>
      <c r="D138" s="32" t="s">
        <v>203</v>
      </c>
      <c r="E138" s="172">
        <v>174525000</v>
      </c>
      <c r="F138" s="221">
        <v>11369700</v>
      </c>
      <c r="G138" s="235">
        <f t="shared" si="6"/>
        <v>6.5146540610227763</v>
      </c>
      <c r="H138" s="235">
        <v>10</v>
      </c>
      <c r="I138" s="111"/>
    </row>
    <row r="139" spans="2:9" ht="16.5" hidden="1" customHeight="1" x14ac:dyDescent="0.25">
      <c r="B139" s="76"/>
      <c r="C139" s="226"/>
      <c r="D139" s="32" t="s">
        <v>204</v>
      </c>
      <c r="E139" s="172">
        <v>242000000</v>
      </c>
      <c r="F139" s="221">
        <v>135017563</v>
      </c>
      <c r="G139" s="235">
        <f t="shared" si="6"/>
        <v>55.792381404958682</v>
      </c>
      <c r="H139" s="235">
        <v>60</v>
      </c>
      <c r="I139" s="111"/>
    </row>
    <row r="140" spans="2:9" ht="16.5" hidden="1" customHeight="1" x14ac:dyDescent="0.25">
      <c r="B140" s="76"/>
      <c r="C140" s="226"/>
      <c r="D140" s="32" t="s">
        <v>205</v>
      </c>
      <c r="E140" s="172">
        <v>162500000</v>
      </c>
      <c r="F140" s="221">
        <v>99871300</v>
      </c>
      <c r="G140" s="235">
        <f t="shared" si="6"/>
        <v>61.45926153846154</v>
      </c>
      <c r="H140" s="235">
        <v>70</v>
      </c>
      <c r="I140" s="111"/>
    </row>
    <row r="141" spans="2:9" ht="18.75" hidden="1" customHeight="1" x14ac:dyDescent="0.25">
      <c r="B141" s="76"/>
      <c r="C141" s="226"/>
      <c r="D141" s="119" t="s">
        <v>206</v>
      </c>
      <c r="E141" s="172">
        <v>95003250</v>
      </c>
      <c r="F141" s="221">
        <v>94982500</v>
      </c>
      <c r="G141" s="235">
        <f t="shared" si="6"/>
        <v>99.978158641941192</v>
      </c>
      <c r="H141" s="235">
        <v>100</v>
      </c>
      <c r="I141" s="111"/>
    </row>
    <row r="142" spans="2:9" ht="35.25" hidden="1" customHeight="1" x14ac:dyDescent="0.25">
      <c r="B142" s="76"/>
      <c r="C142" s="226"/>
      <c r="D142" s="119" t="s">
        <v>207</v>
      </c>
      <c r="E142" s="172">
        <v>8697650000</v>
      </c>
      <c r="F142" s="221">
        <v>8001970499</v>
      </c>
      <c r="G142" s="235">
        <f t="shared" si="6"/>
        <v>92.001523388501496</v>
      </c>
      <c r="H142" s="235">
        <v>95</v>
      </c>
      <c r="I142" s="111"/>
    </row>
    <row r="143" spans="2:9" ht="16.5" hidden="1" customHeight="1" x14ac:dyDescent="0.25">
      <c r="B143" s="76"/>
      <c r="C143" s="226"/>
      <c r="D143" s="32" t="s">
        <v>208</v>
      </c>
      <c r="E143" s="172">
        <v>4271000000</v>
      </c>
      <c r="F143" s="221">
        <v>4205000000</v>
      </c>
      <c r="G143" s="235">
        <f t="shared" si="6"/>
        <v>98.454694450948253</v>
      </c>
      <c r="H143" s="235">
        <v>100</v>
      </c>
      <c r="I143" s="111"/>
    </row>
    <row r="144" spans="2:9" ht="16.5" hidden="1" customHeight="1" x14ac:dyDescent="0.25">
      <c r="B144" s="76"/>
      <c r="C144" s="226"/>
      <c r="D144" s="32" t="s">
        <v>209</v>
      </c>
      <c r="E144" s="172">
        <v>2393300000</v>
      </c>
      <c r="F144" s="221">
        <v>2038432330</v>
      </c>
      <c r="G144" s="235">
        <f t="shared" si="6"/>
        <v>85.172453516065687</v>
      </c>
      <c r="H144" s="235">
        <v>90</v>
      </c>
      <c r="I144" s="111"/>
    </row>
    <row r="145" spans="2:9" ht="16.5" hidden="1" customHeight="1" x14ac:dyDescent="0.25">
      <c r="B145" s="76"/>
      <c r="C145" s="226"/>
      <c r="D145" s="32" t="s">
        <v>210</v>
      </c>
      <c r="E145" s="172">
        <v>378375000</v>
      </c>
      <c r="F145" s="221">
        <v>309021000</v>
      </c>
      <c r="G145" s="235">
        <f t="shared" si="6"/>
        <v>81.670564915758177</v>
      </c>
      <c r="H145" s="235">
        <v>85</v>
      </c>
      <c r="I145" s="111"/>
    </row>
    <row r="146" spans="2:9" ht="16.5" hidden="1" customHeight="1" x14ac:dyDescent="0.25">
      <c r="B146" s="76"/>
      <c r="C146" s="226"/>
      <c r="D146" s="32" t="s">
        <v>211</v>
      </c>
      <c r="E146" s="172">
        <v>203800000</v>
      </c>
      <c r="F146" s="221">
        <v>118495600</v>
      </c>
      <c r="G146" s="235">
        <f t="shared" si="6"/>
        <v>58.143081452404324</v>
      </c>
      <c r="H146" s="235">
        <v>60</v>
      </c>
      <c r="I146" s="111"/>
    </row>
    <row r="147" spans="2:9" s="115" customFormat="1" ht="16.5" hidden="1" customHeight="1" x14ac:dyDescent="0.25">
      <c r="B147" s="157"/>
      <c r="C147" s="222"/>
      <c r="D147" s="32" t="s">
        <v>212</v>
      </c>
      <c r="E147" s="172">
        <v>491775000</v>
      </c>
      <c r="F147" s="221">
        <v>478196700</v>
      </c>
      <c r="G147" s="235">
        <f t="shared" si="6"/>
        <v>97.238920237913689</v>
      </c>
      <c r="H147" s="235">
        <v>100</v>
      </c>
      <c r="I147" s="121"/>
    </row>
    <row r="148" spans="2:9" s="115" customFormat="1" ht="16.5" hidden="1" customHeight="1" x14ac:dyDescent="0.25">
      <c r="B148" s="157"/>
      <c r="C148" s="222"/>
      <c r="D148" s="48" t="s">
        <v>213</v>
      </c>
      <c r="E148" s="112">
        <v>4469689000</v>
      </c>
      <c r="F148" s="220">
        <f>SUM(F149:F151)</f>
        <v>4228576411</v>
      </c>
      <c r="G148" s="110">
        <f t="shared" si="6"/>
        <v>94.6056070344044</v>
      </c>
      <c r="H148" s="110">
        <f>SUM((H149:H151))/3</f>
        <v>90</v>
      </c>
      <c r="I148" s="121"/>
    </row>
    <row r="149" spans="2:9" ht="16.5" hidden="1" customHeight="1" x14ac:dyDescent="0.25">
      <c r="B149" s="76"/>
      <c r="C149" s="226"/>
      <c r="D149" s="32" t="s">
        <v>214</v>
      </c>
      <c r="E149" s="172">
        <v>3198169000</v>
      </c>
      <c r="F149" s="221">
        <v>3187866000</v>
      </c>
      <c r="G149" s="235">
        <f t="shared" si="6"/>
        <v>99.67784691803341</v>
      </c>
      <c r="H149" s="235">
        <v>100</v>
      </c>
      <c r="I149" s="111"/>
    </row>
    <row r="150" spans="2:9" ht="16.5" hidden="1" customHeight="1" x14ac:dyDescent="0.25">
      <c r="B150" s="76"/>
      <c r="C150" s="226"/>
      <c r="D150" s="32" t="s">
        <v>215</v>
      </c>
      <c r="E150" s="172">
        <v>416750000</v>
      </c>
      <c r="F150" s="221">
        <v>367680500</v>
      </c>
      <c r="G150" s="235">
        <f t="shared" si="6"/>
        <v>88.225674865026988</v>
      </c>
      <c r="H150" s="235">
        <v>90</v>
      </c>
      <c r="I150" s="111"/>
    </row>
    <row r="151" spans="2:9" ht="16.5" hidden="1" customHeight="1" x14ac:dyDescent="0.25">
      <c r="B151" s="76"/>
      <c r="C151" s="226"/>
      <c r="D151" s="32" t="s">
        <v>216</v>
      </c>
      <c r="E151" s="172">
        <v>854770000</v>
      </c>
      <c r="F151" s="221">
        <v>673029911</v>
      </c>
      <c r="G151" s="235">
        <f t="shared" ref="G151:G160" si="7">+F151/E151*100</f>
        <v>78.738129672309512</v>
      </c>
      <c r="H151" s="235">
        <v>80</v>
      </c>
      <c r="I151" s="111"/>
    </row>
    <row r="152" spans="2:9" s="115" customFormat="1" ht="16.5" hidden="1" customHeight="1" x14ac:dyDescent="0.25">
      <c r="B152" s="157"/>
      <c r="C152" s="222"/>
      <c r="D152" s="48" t="s">
        <v>217</v>
      </c>
      <c r="E152" s="112">
        <v>849980164</v>
      </c>
      <c r="F152" s="220">
        <f>SUM(F153:F155)</f>
        <v>808009429</v>
      </c>
      <c r="G152" s="110">
        <f t="shared" si="7"/>
        <v>95.062151238625844</v>
      </c>
      <c r="H152" s="110">
        <f>SUM((H153:H155))/3</f>
        <v>93.333333333333329</v>
      </c>
      <c r="I152" s="121"/>
    </row>
    <row r="153" spans="2:9" ht="16.5" hidden="1" customHeight="1" x14ac:dyDescent="0.25">
      <c r="B153" s="76"/>
      <c r="C153" s="226"/>
      <c r="D153" s="32" t="s">
        <v>218</v>
      </c>
      <c r="E153" s="172">
        <v>610154739</v>
      </c>
      <c r="F153" s="221">
        <v>597349179</v>
      </c>
      <c r="G153" s="235">
        <f t="shared" si="7"/>
        <v>97.90126025719519</v>
      </c>
      <c r="H153" s="235">
        <v>100</v>
      </c>
      <c r="I153" s="111"/>
    </row>
    <row r="154" spans="2:9" ht="16.5" hidden="1" customHeight="1" x14ac:dyDescent="0.25">
      <c r="B154" s="76"/>
      <c r="C154" s="226"/>
      <c r="D154" s="32" t="s">
        <v>219</v>
      </c>
      <c r="E154" s="172">
        <v>116903810</v>
      </c>
      <c r="F154" s="221">
        <v>91713250</v>
      </c>
      <c r="G154" s="235">
        <f t="shared" si="7"/>
        <v>78.451891345542961</v>
      </c>
      <c r="H154" s="235">
        <v>80</v>
      </c>
      <c r="I154" s="111"/>
    </row>
    <row r="155" spans="2:9" ht="16.5" hidden="1" customHeight="1" x14ac:dyDescent="0.25">
      <c r="B155" s="76"/>
      <c r="C155" s="226"/>
      <c r="D155" s="32" t="s">
        <v>220</v>
      </c>
      <c r="E155" s="172">
        <v>122921615</v>
      </c>
      <c r="F155" s="221">
        <v>118947000</v>
      </c>
      <c r="G155" s="235">
        <f t="shared" si="7"/>
        <v>96.766545086476455</v>
      </c>
      <c r="H155" s="235">
        <v>100</v>
      </c>
      <c r="I155" s="111"/>
    </row>
    <row r="156" spans="2:9" s="115" customFormat="1" ht="16.5" hidden="1" customHeight="1" x14ac:dyDescent="0.25">
      <c r="B156" s="157"/>
      <c r="C156" s="222"/>
      <c r="D156" s="48" t="s">
        <v>221</v>
      </c>
      <c r="E156" s="112">
        <v>231842000</v>
      </c>
      <c r="F156" s="220">
        <f>+F157</f>
        <v>197522300</v>
      </c>
      <c r="G156" s="110">
        <f t="shared" si="7"/>
        <v>85.196944470803388</v>
      </c>
      <c r="H156" s="110">
        <f>H157</f>
        <v>90</v>
      </c>
      <c r="I156" s="121"/>
    </row>
    <row r="157" spans="2:9" ht="18.75" hidden="1" customHeight="1" x14ac:dyDescent="0.25">
      <c r="B157" s="76"/>
      <c r="C157" s="226"/>
      <c r="D157" s="119" t="s">
        <v>222</v>
      </c>
      <c r="E157" s="172">
        <v>231842000</v>
      </c>
      <c r="F157" s="221">
        <v>197522300</v>
      </c>
      <c r="G157" s="235">
        <f t="shared" si="7"/>
        <v>85.196944470803388</v>
      </c>
      <c r="H157" s="235">
        <v>90</v>
      </c>
      <c r="I157" s="111"/>
    </row>
    <row r="158" spans="2:9" s="115" customFormat="1" ht="16.5" hidden="1" customHeight="1" x14ac:dyDescent="0.25">
      <c r="B158" s="157"/>
      <c r="C158" s="222"/>
      <c r="D158" s="48" t="s">
        <v>223</v>
      </c>
      <c r="E158" s="112">
        <f>+E159+E160</f>
        <v>966299000</v>
      </c>
      <c r="F158" s="220">
        <f>+F159+F160</f>
        <v>365786900</v>
      </c>
      <c r="G158" s="110">
        <f t="shared" si="7"/>
        <v>37.85442187149112</v>
      </c>
      <c r="H158" s="110">
        <f>SUM((H159:H160))/2</f>
        <v>45</v>
      </c>
      <c r="I158" s="121"/>
    </row>
    <row r="159" spans="2:9" ht="16.5" hidden="1" customHeight="1" x14ac:dyDescent="0.25">
      <c r="B159" s="76"/>
      <c r="C159" s="226"/>
      <c r="D159" s="32" t="s">
        <v>224</v>
      </c>
      <c r="E159" s="172">
        <v>433649000</v>
      </c>
      <c r="F159" s="221">
        <v>365786900</v>
      </c>
      <c r="G159" s="235">
        <f t="shared" si="7"/>
        <v>84.350915141047253</v>
      </c>
      <c r="H159" s="235">
        <v>90</v>
      </c>
      <c r="I159" s="111"/>
    </row>
    <row r="160" spans="2:9" ht="18.75" hidden="1" customHeight="1" x14ac:dyDescent="0.25">
      <c r="B160" s="76"/>
      <c r="C160" s="226"/>
      <c r="D160" s="119" t="s">
        <v>225</v>
      </c>
      <c r="E160" s="172">
        <v>532650000</v>
      </c>
      <c r="F160" s="108">
        <v>0</v>
      </c>
      <c r="G160" s="235">
        <f t="shared" si="7"/>
        <v>0</v>
      </c>
      <c r="H160" s="235">
        <f t="shared" ref="H160:H193" si="8">+G160</f>
        <v>0</v>
      </c>
      <c r="I160" s="111"/>
    </row>
    <row r="161" spans="2:9" ht="16.5" hidden="1" customHeight="1" x14ac:dyDescent="0.25">
      <c r="B161" s="76"/>
      <c r="C161" s="226"/>
      <c r="D161" s="32"/>
      <c r="E161" s="172"/>
      <c r="F161" s="108"/>
      <c r="G161" s="235"/>
      <c r="H161" s="235"/>
      <c r="I161" s="111"/>
    </row>
    <row r="162" spans="2:9" s="115" customFormat="1" ht="16.5" hidden="1" customHeight="1" x14ac:dyDescent="0.25">
      <c r="B162" s="157"/>
      <c r="C162" s="222"/>
      <c r="D162" s="48" t="s">
        <v>226</v>
      </c>
      <c r="E162" s="112">
        <f>+E163+E166+E168+E170+E177+E179</f>
        <v>59320646736</v>
      </c>
      <c r="F162" s="220">
        <f>+F163+F166+F168+F170+F177+F179</f>
        <v>51701496897</v>
      </c>
      <c r="G162" s="110">
        <f t="shared" ref="G162:G180" si="9">+F162/E162*100</f>
        <v>87.155989932294247</v>
      </c>
      <c r="H162" s="110">
        <f>(H163+H166+H168+H170+H177+H179)/6</f>
        <v>89.444444444444457</v>
      </c>
      <c r="I162" s="121"/>
    </row>
    <row r="163" spans="2:9" s="115" customFormat="1" ht="16.5" hidden="1" customHeight="1" x14ac:dyDescent="0.25">
      <c r="B163" s="157"/>
      <c r="C163" s="222"/>
      <c r="D163" s="48" t="s">
        <v>227</v>
      </c>
      <c r="E163" s="215">
        <f>SUM(E164:E165)</f>
        <v>10067088968</v>
      </c>
      <c r="F163" s="220">
        <f>SUM(F164:F165)</f>
        <v>9742298993</v>
      </c>
      <c r="G163" s="110">
        <f t="shared" si="9"/>
        <v>96.773744862766179</v>
      </c>
      <c r="H163" s="235">
        <f>(H164+H165)/2</f>
        <v>100</v>
      </c>
      <c r="I163" s="121"/>
    </row>
    <row r="164" spans="2:9" ht="16.5" hidden="1" customHeight="1" x14ac:dyDescent="0.25">
      <c r="B164" s="76"/>
      <c r="C164" s="226"/>
      <c r="D164" s="32" t="s">
        <v>228</v>
      </c>
      <c r="E164" s="216">
        <v>5083040000</v>
      </c>
      <c r="F164" s="221">
        <v>4798268581</v>
      </c>
      <c r="G164" s="235">
        <f t="shared" si="9"/>
        <v>94.39761601325192</v>
      </c>
      <c r="H164" s="235">
        <v>100</v>
      </c>
      <c r="I164" s="111"/>
    </row>
    <row r="165" spans="2:9" ht="16.5" hidden="1" customHeight="1" x14ac:dyDescent="0.25">
      <c r="B165" s="76"/>
      <c r="C165" s="226"/>
      <c r="D165" s="32" t="s">
        <v>229</v>
      </c>
      <c r="E165" s="216">
        <v>4984048968</v>
      </c>
      <c r="F165" s="221">
        <v>4944030412</v>
      </c>
      <c r="G165" s="235">
        <f t="shared" si="9"/>
        <v>99.197067359150395</v>
      </c>
      <c r="H165" s="235">
        <v>100</v>
      </c>
      <c r="I165" s="111"/>
    </row>
    <row r="166" spans="2:9" s="115" customFormat="1" ht="16.5" hidden="1" customHeight="1" x14ac:dyDescent="0.25">
      <c r="B166" s="157"/>
      <c r="C166" s="222"/>
      <c r="D166" s="48" t="s">
        <v>166</v>
      </c>
      <c r="E166" s="215">
        <v>18729800000</v>
      </c>
      <c r="F166" s="220">
        <f>+F167</f>
        <v>16398939000</v>
      </c>
      <c r="G166" s="110">
        <f t="shared" si="9"/>
        <v>87.55533428013112</v>
      </c>
      <c r="H166" s="110">
        <f>H167</f>
        <v>90</v>
      </c>
      <c r="I166" s="121"/>
    </row>
    <row r="167" spans="2:9" ht="16.5" hidden="1" customHeight="1" x14ac:dyDescent="0.25">
      <c r="B167" s="76"/>
      <c r="C167" s="226"/>
      <c r="D167" s="32" t="s">
        <v>230</v>
      </c>
      <c r="E167" s="216">
        <v>18729800000</v>
      </c>
      <c r="F167" s="221">
        <v>16398939000</v>
      </c>
      <c r="G167" s="235">
        <f t="shared" si="9"/>
        <v>87.55533428013112</v>
      </c>
      <c r="H167" s="235">
        <v>90</v>
      </c>
      <c r="I167" s="111"/>
    </row>
    <row r="168" spans="2:9" s="115" customFormat="1" ht="16.5" hidden="1" customHeight="1" x14ac:dyDescent="0.25">
      <c r="B168" s="157"/>
      <c r="C168" s="222"/>
      <c r="D168" s="48" t="s">
        <v>231</v>
      </c>
      <c r="E168" s="215">
        <v>3381360000</v>
      </c>
      <c r="F168" s="220">
        <f>+F169</f>
        <v>3380784596</v>
      </c>
      <c r="G168" s="110">
        <f t="shared" si="9"/>
        <v>99.982983060070509</v>
      </c>
      <c r="H168" s="110">
        <f>H169</f>
        <v>100</v>
      </c>
      <c r="I168" s="121"/>
    </row>
    <row r="169" spans="2:9" ht="16.5" hidden="1" customHeight="1" x14ac:dyDescent="0.25">
      <c r="B169" s="76"/>
      <c r="C169" s="226"/>
      <c r="D169" s="32" t="s">
        <v>232</v>
      </c>
      <c r="E169" s="216">
        <v>3381360000</v>
      </c>
      <c r="F169" s="221">
        <v>3380784596</v>
      </c>
      <c r="G169" s="235">
        <f t="shared" si="9"/>
        <v>99.982983060070509</v>
      </c>
      <c r="H169" s="235">
        <v>100</v>
      </c>
      <c r="I169" s="111"/>
    </row>
    <row r="170" spans="2:9" s="115" customFormat="1" ht="29.25" hidden="1" customHeight="1" x14ac:dyDescent="0.25">
      <c r="B170" s="157"/>
      <c r="C170" s="222"/>
      <c r="D170" s="217" t="s">
        <v>233</v>
      </c>
      <c r="E170" s="215">
        <v>24587397768</v>
      </c>
      <c r="F170" s="220">
        <f>SUM(F171:F176)</f>
        <v>19849681498</v>
      </c>
      <c r="G170" s="110">
        <f t="shared" si="9"/>
        <v>80.731119597511693</v>
      </c>
      <c r="H170" s="110">
        <f>SUM((H171:H176))/6</f>
        <v>86.666666666666671</v>
      </c>
      <c r="I170" s="121"/>
    </row>
    <row r="171" spans="2:9" ht="16.5" hidden="1" customHeight="1" x14ac:dyDescent="0.25">
      <c r="B171" s="76"/>
      <c r="C171" s="226"/>
      <c r="D171" s="32" t="s">
        <v>234</v>
      </c>
      <c r="E171" s="216">
        <v>2478440000</v>
      </c>
      <c r="F171" s="221">
        <v>1648926550</v>
      </c>
      <c r="G171" s="235">
        <f t="shared" si="9"/>
        <v>66.530823824663898</v>
      </c>
      <c r="H171" s="235">
        <v>70</v>
      </c>
      <c r="I171" s="111"/>
    </row>
    <row r="172" spans="2:9" ht="16.5" hidden="1" customHeight="1" x14ac:dyDescent="0.25">
      <c r="B172" s="76"/>
      <c r="C172" s="226"/>
      <c r="D172" s="32" t="s">
        <v>235</v>
      </c>
      <c r="E172" s="216">
        <v>2000000000</v>
      </c>
      <c r="F172" s="221">
        <v>1982078274</v>
      </c>
      <c r="G172" s="235">
        <f t="shared" si="9"/>
        <v>99.103913700000007</v>
      </c>
      <c r="H172" s="235">
        <v>100</v>
      </c>
      <c r="I172" s="111"/>
    </row>
    <row r="173" spans="2:9" ht="16.5" hidden="1" customHeight="1" x14ac:dyDescent="0.25">
      <c r="B173" s="76"/>
      <c r="C173" s="226"/>
      <c r="D173" s="32" t="s">
        <v>236</v>
      </c>
      <c r="E173" s="216">
        <v>6214000000</v>
      </c>
      <c r="F173" s="221">
        <v>5488670654</v>
      </c>
      <c r="G173" s="235">
        <f t="shared" si="9"/>
        <v>88.327496845831988</v>
      </c>
      <c r="H173" s="235">
        <v>90</v>
      </c>
      <c r="I173" s="111"/>
    </row>
    <row r="174" spans="2:9" ht="16.5" hidden="1" customHeight="1" x14ac:dyDescent="0.25">
      <c r="B174" s="76"/>
      <c r="C174" s="226"/>
      <c r="D174" s="32" t="s">
        <v>237</v>
      </c>
      <c r="E174" s="216">
        <v>2684050000</v>
      </c>
      <c r="F174" s="221">
        <v>2552514600</v>
      </c>
      <c r="G174" s="235">
        <f t="shared" si="9"/>
        <v>95.09936849164508</v>
      </c>
      <c r="H174" s="235">
        <v>100</v>
      </c>
      <c r="I174" s="111"/>
    </row>
    <row r="175" spans="2:9" ht="16.5" hidden="1" customHeight="1" x14ac:dyDescent="0.25">
      <c r="B175" s="76"/>
      <c r="C175" s="226"/>
      <c r="D175" s="32" t="s">
        <v>238</v>
      </c>
      <c r="E175" s="216">
        <v>6260907768</v>
      </c>
      <c r="F175" s="221">
        <v>3252639500</v>
      </c>
      <c r="G175" s="235">
        <f t="shared" si="9"/>
        <v>51.951563902993435</v>
      </c>
      <c r="H175" s="235">
        <v>60</v>
      </c>
      <c r="I175" s="111"/>
    </row>
    <row r="176" spans="2:9" ht="16.5" hidden="1" customHeight="1" x14ac:dyDescent="0.25">
      <c r="B176" s="76"/>
      <c r="C176" s="226"/>
      <c r="D176" s="32" t="s">
        <v>239</v>
      </c>
      <c r="E176" s="216">
        <v>4950000000</v>
      </c>
      <c r="F176" s="221">
        <v>4924851920</v>
      </c>
      <c r="G176" s="235">
        <f t="shared" si="9"/>
        <v>99.491957979797988</v>
      </c>
      <c r="H176" s="235">
        <v>100</v>
      </c>
      <c r="I176" s="111"/>
    </row>
    <row r="177" spans="2:9" s="115" customFormat="1" ht="29.25" hidden="1" customHeight="1" x14ac:dyDescent="0.25">
      <c r="B177" s="157"/>
      <c r="C177" s="222"/>
      <c r="D177" s="217" t="s">
        <v>240</v>
      </c>
      <c r="E177" s="215">
        <v>2155000000</v>
      </c>
      <c r="F177" s="220">
        <f>+F178</f>
        <v>2097792810</v>
      </c>
      <c r="G177" s="110">
        <f t="shared" si="9"/>
        <v>97.345374013921116</v>
      </c>
      <c r="H177" s="110">
        <f>H178</f>
        <v>100</v>
      </c>
      <c r="I177" s="121"/>
    </row>
    <row r="178" spans="2:9" ht="16.5" hidden="1" customHeight="1" x14ac:dyDescent="0.25">
      <c r="B178" s="76"/>
      <c r="C178" s="226"/>
      <c r="D178" s="32" t="s">
        <v>241</v>
      </c>
      <c r="E178" s="216">
        <v>2155000000</v>
      </c>
      <c r="F178" s="221">
        <v>2097792810</v>
      </c>
      <c r="G178" s="235">
        <f t="shared" si="9"/>
        <v>97.345374013921116</v>
      </c>
      <c r="H178" s="235">
        <v>100</v>
      </c>
      <c r="I178" s="111"/>
    </row>
    <row r="179" spans="2:9" ht="16.5" hidden="1" customHeight="1" x14ac:dyDescent="0.25">
      <c r="B179" s="76"/>
      <c r="C179" s="226"/>
      <c r="D179" s="48" t="s">
        <v>202</v>
      </c>
      <c r="E179" s="215">
        <v>400000000</v>
      </c>
      <c r="F179" s="220">
        <f>+F180</f>
        <v>232000000</v>
      </c>
      <c r="G179" s="110">
        <f t="shared" si="9"/>
        <v>57.999999999999993</v>
      </c>
      <c r="H179" s="110">
        <f>H180</f>
        <v>60</v>
      </c>
      <c r="I179" s="111"/>
    </row>
    <row r="180" spans="2:9" ht="16.5" hidden="1" customHeight="1" x14ac:dyDescent="0.25">
      <c r="B180" s="76"/>
      <c r="C180" s="226"/>
      <c r="D180" s="32" t="s">
        <v>242</v>
      </c>
      <c r="E180" s="216">
        <v>400000000</v>
      </c>
      <c r="F180" s="221">
        <v>232000000</v>
      </c>
      <c r="G180" s="235">
        <f t="shared" si="9"/>
        <v>57.999999999999993</v>
      </c>
      <c r="H180" s="235">
        <v>60</v>
      </c>
      <c r="I180" s="111"/>
    </row>
    <row r="181" spans="2:9" ht="16.5" hidden="1" customHeight="1" x14ac:dyDescent="0.25">
      <c r="B181" s="76"/>
      <c r="C181" s="226"/>
      <c r="D181" s="32"/>
      <c r="E181" s="172"/>
      <c r="F181" s="108"/>
      <c r="G181" s="235"/>
      <c r="H181" s="110"/>
      <c r="I181" s="111"/>
    </row>
    <row r="182" spans="2:9" s="115" customFormat="1" ht="16.5" hidden="1" customHeight="1" x14ac:dyDescent="0.25">
      <c r="B182" s="157"/>
      <c r="C182" s="222"/>
      <c r="D182" s="48" t="s">
        <v>243</v>
      </c>
      <c r="E182" s="112">
        <f>+E183+E185+E187+E194</f>
        <v>30000000000</v>
      </c>
      <c r="F182" s="220">
        <f>+F183+F185+F187+F194</f>
        <v>28449714731.460003</v>
      </c>
      <c r="G182" s="110">
        <f t="shared" ref="G182:G195" si="10">+F182/E182*100</f>
        <v>94.832382438200014</v>
      </c>
      <c r="H182" s="110">
        <f>(H183+H185+H187+H194)/4</f>
        <v>98.333135736111117</v>
      </c>
      <c r="I182" s="121"/>
    </row>
    <row r="183" spans="2:9" s="115" customFormat="1" ht="16.5" hidden="1" customHeight="1" x14ac:dyDescent="0.25">
      <c r="B183" s="157"/>
      <c r="C183" s="222"/>
      <c r="D183" s="48" t="s">
        <v>227</v>
      </c>
      <c r="E183" s="112">
        <v>4376025000</v>
      </c>
      <c r="F183" s="220">
        <f>+F184</f>
        <v>4375165086</v>
      </c>
      <c r="G183" s="110">
        <f t="shared" si="10"/>
        <v>99.980349426705743</v>
      </c>
      <c r="H183" s="110">
        <v>100</v>
      </c>
      <c r="I183" s="121"/>
    </row>
    <row r="184" spans="2:9" ht="16.5" hidden="1" customHeight="1" x14ac:dyDescent="0.25">
      <c r="B184" s="76"/>
      <c r="C184" s="226"/>
      <c r="D184" s="32" t="s">
        <v>229</v>
      </c>
      <c r="E184" s="172">
        <v>4376025000</v>
      </c>
      <c r="F184" s="221">
        <v>4375165086</v>
      </c>
      <c r="G184" s="235">
        <f t="shared" si="10"/>
        <v>99.980349426705743</v>
      </c>
      <c r="H184" s="235">
        <v>100</v>
      </c>
      <c r="I184" s="111"/>
    </row>
    <row r="185" spans="2:9" s="115" customFormat="1" ht="16.5" hidden="1" customHeight="1" x14ac:dyDescent="0.25">
      <c r="B185" s="157"/>
      <c r="C185" s="222"/>
      <c r="D185" s="48" t="s">
        <v>231</v>
      </c>
      <c r="E185" s="112">
        <v>8632170000</v>
      </c>
      <c r="F185" s="220">
        <f>+F186</f>
        <v>8370105413</v>
      </c>
      <c r="G185" s="110">
        <f t="shared" si="10"/>
        <v>96.964093767847487</v>
      </c>
      <c r="H185" s="110">
        <v>100</v>
      </c>
      <c r="I185" s="121"/>
    </row>
    <row r="186" spans="2:9" ht="16.5" hidden="1" customHeight="1" x14ac:dyDescent="0.25">
      <c r="B186" s="76"/>
      <c r="C186" s="226"/>
      <c r="D186" s="32" t="s">
        <v>244</v>
      </c>
      <c r="E186" s="172">
        <v>8632170000</v>
      </c>
      <c r="F186" s="221">
        <v>8370105413</v>
      </c>
      <c r="G186" s="235">
        <f t="shared" si="10"/>
        <v>96.964093767847487</v>
      </c>
      <c r="H186" s="235">
        <v>100</v>
      </c>
      <c r="I186" s="111"/>
    </row>
    <row r="187" spans="2:9" s="115" customFormat="1" ht="30" hidden="1" customHeight="1" x14ac:dyDescent="0.25">
      <c r="B187" s="157"/>
      <c r="C187" s="222"/>
      <c r="D187" s="217" t="s">
        <v>233</v>
      </c>
      <c r="E187" s="112">
        <v>15990655000</v>
      </c>
      <c r="F187" s="220">
        <f>SUM(F188:F193)</f>
        <v>14704255774.58</v>
      </c>
      <c r="G187" s="110">
        <f t="shared" si="10"/>
        <v>91.955306237174156</v>
      </c>
      <c r="H187" s="110">
        <f>SUM((H188:H193))/6</f>
        <v>93.332542944444455</v>
      </c>
      <c r="I187" s="121"/>
    </row>
    <row r="188" spans="2:9" ht="16.5" hidden="1" customHeight="1" x14ac:dyDescent="0.25">
      <c r="B188" s="76"/>
      <c r="C188" s="226"/>
      <c r="D188" s="32" t="s">
        <v>245</v>
      </c>
      <c r="E188" s="172">
        <v>500000000</v>
      </c>
      <c r="F188" s="221">
        <v>498522065</v>
      </c>
      <c r="G188" s="235">
        <f t="shared" si="10"/>
        <v>99.704413000000002</v>
      </c>
      <c r="H188" s="235">
        <v>100</v>
      </c>
      <c r="I188" s="111"/>
    </row>
    <row r="189" spans="2:9" ht="16.5" hidden="1" customHeight="1" x14ac:dyDescent="0.25">
      <c r="B189" s="76"/>
      <c r="C189" s="226"/>
      <c r="D189" s="32" t="s">
        <v>234</v>
      </c>
      <c r="E189" s="172">
        <v>5756546000</v>
      </c>
      <c r="F189" s="221">
        <v>5692733269.5799999</v>
      </c>
      <c r="G189" s="235">
        <f t="shared" si="10"/>
        <v>98.891475366999586</v>
      </c>
      <c r="H189" s="235">
        <v>100</v>
      </c>
      <c r="I189" s="111"/>
    </row>
    <row r="190" spans="2:9" ht="16.5" hidden="1" customHeight="1" x14ac:dyDescent="0.25">
      <c r="B190" s="76"/>
      <c r="C190" s="226"/>
      <c r="D190" s="32" t="s">
        <v>235</v>
      </c>
      <c r="E190" s="172">
        <v>2256800000</v>
      </c>
      <c r="F190" s="221">
        <v>2092900150</v>
      </c>
      <c r="G190" s="235">
        <f t="shared" si="10"/>
        <v>92.737511077632035</v>
      </c>
      <c r="H190" s="235">
        <v>95</v>
      </c>
      <c r="I190" s="111"/>
    </row>
    <row r="191" spans="2:9" ht="16.5" hidden="1" customHeight="1" x14ac:dyDescent="0.25">
      <c r="B191" s="76"/>
      <c r="C191" s="226"/>
      <c r="D191" s="32" t="s">
        <v>246</v>
      </c>
      <c r="E191" s="172">
        <v>3827309000</v>
      </c>
      <c r="F191" s="221">
        <v>3574914673</v>
      </c>
      <c r="G191" s="235">
        <f t="shared" si="10"/>
        <v>93.40543637840581</v>
      </c>
      <c r="H191" s="235">
        <v>95</v>
      </c>
      <c r="I191" s="111"/>
    </row>
    <row r="192" spans="2:9" ht="16.5" hidden="1" customHeight="1" x14ac:dyDescent="0.25">
      <c r="B192" s="76"/>
      <c r="C192" s="226"/>
      <c r="D192" s="32" t="s">
        <v>237</v>
      </c>
      <c r="E192" s="172">
        <v>650000000</v>
      </c>
      <c r="F192" s="221">
        <v>595327887</v>
      </c>
      <c r="G192" s="235">
        <f t="shared" si="10"/>
        <v>91.588905692307691</v>
      </c>
      <c r="H192" s="235">
        <v>95</v>
      </c>
      <c r="I192" s="111"/>
    </row>
    <row r="193" spans="2:9" ht="16.5" hidden="1" customHeight="1" x14ac:dyDescent="0.25">
      <c r="B193" s="76"/>
      <c r="C193" s="226"/>
      <c r="D193" s="32" t="s">
        <v>238</v>
      </c>
      <c r="E193" s="172">
        <v>3000000000</v>
      </c>
      <c r="F193" s="221">
        <v>2249857730</v>
      </c>
      <c r="G193" s="235">
        <f t="shared" si="10"/>
        <v>74.995257666666674</v>
      </c>
      <c r="H193" s="235">
        <f t="shared" si="8"/>
        <v>74.995257666666674</v>
      </c>
      <c r="I193" s="111"/>
    </row>
    <row r="194" spans="2:9" s="115" customFormat="1" ht="30" hidden="1" customHeight="1" x14ac:dyDescent="0.25">
      <c r="B194" s="157"/>
      <c r="C194" s="222"/>
      <c r="D194" s="217" t="s">
        <v>240</v>
      </c>
      <c r="E194" s="112">
        <v>1001150000</v>
      </c>
      <c r="F194" s="220">
        <f>+F195</f>
        <v>1000188457.88</v>
      </c>
      <c r="G194" s="110">
        <f t="shared" si="10"/>
        <v>99.903956238325918</v>
      </c>
      <c r="H194" s="110">
        <f>H195</f>
        <v>100</v>
      </c>
      <c r="I194" s="121"/>
    </row>
    <row r="195" spans="2:9" ht="16.5" hidden="1" customHeight="1" x14ac:dyDescent="0.25">
      <c r="B195" s="76"/>
      <c r="C195" s="226"/>
      <c r="D195" s="32" t="s">
        <v>247</v>
      </c>
      <c r="E195" s="172">
        <v>1001150000</v>
      </c>
      <c r="F195" s="221">
        <v>1000188457.88</v>
      </c>
      <c r="G195" s="235">
        <f t="shared" si="10"/>
        <v>99.903956238325918</v>
      </c>
      <c r="H195" s="235">
        <v>100</v>
      </c>
      <c r="I195" s="111"/>
    </row>
    <row r="196" spans="2:9" ht="16.5" hidden="1" customHeight="1" x14ac:dyDescent="0.25">
      <c r="B196" s="76"/>
      <c r="C196" s="226"/>
      <c r="D196" s="32"/>
      <c r="E196" s="172"/>
      <c r="F196" s="108"/>
      <c r="G196" s="235"/>
      <c r="H196" s="110"/>
      <c r="I196" s="111"/>
    </row>
    <row r="197" spans="2:9" s="115" customFormat="1" ht="16.5" hidden="1" customHeight="1" x14ac:dyDescent="0.25">
      <c r="B197" s="157"/>
      <c r="C197" s="222"/>
      <c r="D197" s="48" t="s">
        <v>248</v>
      </c>
      <c r="E197" s="112">
        <v>20000000000</v>
      </c>
      <c r="F197" s="220">
        <f>+F198+F200+F207+F209</f>
        <v>18221740368</v>
      </c>
      <c r="G197" s="110">
        <f t="shared" ref="G197:G214" si="11">+F197/E197*100</f>
        <v>91.108701839999995</v>
      </c>
      <c r="H197" s="110">
        <f>(H198+H200+H207+H209)/4</f>
        <v>77.875</v>
      </c>
      <c r="I197" s="121"/>
    </row>
    <row r="198" spans="2:9" s="115" customFormat="1" ht="16.5" hidden="1" customHeight="1" x14ac:dyDescent="0.25">
      <c r="B198" s="157"/>
      <c r="C198" s="222"/>
      <c r="D198" s="48" t="s">
        <v>249</v>
      </c>
      <c r="E198" s="112">
        <v>50000000</v>
      </c>
      <c r="F198" s="220">
        <f>+F199</f>
        <v>46982500</v>
      </c>
      <c r="G198" s="110">
        <f t="shared" si="11"/>
        <v>93.965000000000003</v>
      </c>
      <c r="H198" s="110">
        <v>95</v>
      </c>
      <c r="I198" s="121"/>
    </row>
    <row r="199" spans="2:9" ht="16.5" hidden="1" customHeight="1" x14ac:dyDescent="0.25">
      <c r="B199" s="76"/>
      <c r="C199" s="226"/>
      <c r="D199" s="32" t="s">
        <v>250</v>
      </c>
      <c r="E199" s="172">
        <v>50000000</v>
      </c>
      <c r="F199" s="221">
        <v>46982500</v>
      </c>
      <c r="G199" s="235">
        <f t="shared" si="11"/>
        <v>93.965000000000003</v>
      </c>
      <c r="H199" s="235">
        <v>95</v>
      </c>
      <c r="I199" s="111"/>
    </row>
    <row r="200" spans="2:9" s="115" customFormat="1" ht="28.5" hidden="1" customHeight="1" x14ac:dyDescent="0.25">
      <c r="B200" s="157"/>
      <c r="C200" s="222"/>
      <c r="D200" s="217" t="s">
        <v>233</v>
      </c>
      <c r="E200" s="112">
        <v>10666600000</v>
      </c>
      <c r="F200" s="220">
        <f>SUM(F201:F206)</f>
        <v>9105363706</v>
      </c>
      <c r="G200" s="110">
        <f t="shared" si="11"/>
        <v>85.363318264489152</v>
      </c>
      <c r="H200" s="110">
        <f>SUM((H201:H206))/6</f>
        <v>87.5</v>
      </c>
      <c r="I200" s="121"/>
    </row>
    <row r="201" spans="2:9" ht="16.5" hidden="1" customHeight="1" x14ac:dyDescent="0.25">
      <c r="B201" s="76"/>
      <c r="C201" s="226"/>
      <c r="D201" s="32" t="s">
        <v>245</v>
      </c>
      <c r="E201" s="172">
        <v>3200000000</v>
      </c>
      <c r="F201" s="221">
        <v>2577041250</v>
      </c>
      <c r="G201" s="235">
        <f t="shared" si="11"/>
        <v>80.532539062499993</v>
      </c>
      <c r="H201" s="235">
        <v>85</v>
      </c>
      <c r="I201" s="111"/>
    </row>
    <row r="202" spans="2:9" ht="16.5" hidden="1" customHeight="1" x14ac:dyDescent="0.25">
      <c r="B202" s="76"/>
      <c r="C202" s="226"/>
      <c r="D202" s="32" t="s">
        <v>251</v>
      </c>
      <c r="E202" s="172">
        <v>2750000000</v>
      </c>
      <c r="F202" s="221">
        <v>2714886800</v>
      </c>
      <c r="G202" s="235">
        <f t="shared" si="11"/>
        <v>98.723156363636363</v>
      </c>
      <c r="H202" s="235">
        <v>100</v>
      </c>
      <c r="I202" s="111"/>
    </row>
    <row r="203" spans="2:9" ht="16.5" hidden="1" customHeight="1" x14ac:dyDescent="0.25">
      <c r="B203" s="76"/>
      <c r="C203" s="226"/>
      <c r="D203" s="32" t="s">
        <v>234</v>
      </c>
      <c r="E203" s="172">
        <v>1070157994</v>
      </c>
      <c r="F203" s="221">
        <v>497655961</v>
      </c>
      <c r="G203" s="235">
        <f t="shared" si="11"/>
        <v>46.503036354461877</v>
      </c>
      <c r="H203" s="235">
        <v>50</v>
      </c>
      <c r="I203" s="111"/>
    </row>
    <row r="204" spans="2:9" ht="28.5" hidden="1" customHeight="1" x14ac:dyDescent="0.25">
      <c r="B204" s="76"/>
      <c r="C204" s="226"/>
      <c r="D204" s="119" t="s">
        <v>246</v>
      </c>
      <c r="E204" s="172">
        <v>536442006</v>
      </c>
      <c r="F204" s="221">
        <v>533374050</v>
      </c>
      <c r="G204" s="235">
        <f t="shared" si="11"/>
        <v>99.428091766549684</v>
      </c>
      <c r="H204" s="235">
        <v>100</v>
      </c>
      <c r="I204" s="111"/>
    </row>
    <row r="205" spans="2:9" ht="16.5" hidden="1" customHeight="1" x14ac:dyDescent="0.25">
      <c r="B205" s="76"/>
      <c r="C205" s="226"/>
      <c r="D205" s="32" t="s">
        <v>236</v>
      </c>
      <c r="E205" s="172">
        <v>190000000</v>
      </c>
      <c r="F205" s="221">
        <v>188787500</v>
      </c>
      <c r="G205" s="235">
        <f t="shared" si="11"/>
        <v>99.36184210526315</v>
      </c>
      <c r="H205" s="235">
        <v>100</v>
      </c>
      <c r="I205" s="111"/>
    </row>
    <row r="206" spans="2:9" ht="16.5" hidden="1" customHeight="1" x14ac:dyDescent="0.25">
      <c r="B206" s="76"/>
      <c r="C206" s="226"/>
      <c r="D206" s="32" t="s">
        <v>238</v>
      </c>
      <c r="E206" s="172">
        <v>2920000000</v>
      </c>
      <c r="F206" s="221">
        <v>2593618145</v>
      </c>
      <c r="G206" s="235">
        <f t="shared" si="11"/>
        <v>88.822539212328763</v>
      </c>
      <c r="H206" s="235">
        <v>90</v>
      </c>
      <c r="I206" s="111"/>
    </row>
    <row r="207" spans="2:9" s="115" customFormat="1" ht="33.75" hidden="1" customHeight="1" x14ac:dyDescent="0.25">
      <c r="B207" s="157"/>
      <c r="C207" s="222"/>
      <c r="D207" s="217" t="s">
        <v>240</v>
      </c>
      <c r="E207" s="112">
        <v>43250000</v>
      </c>
      <c r="F207" s="220">
        <f>+F208</f>
        <v>13300000</v>
      </c>
      <c r="G207" s="110">
        <f t="shared" si="11"/>
        <v>30.751445086705203</v>
      </c>
      <c r="H207" s="110">
        <v>35</v>
      </c>
      <c r="I207" s="121"/>
    </row>
    <row r="208" spans="2:9" ht="16.5" hidden="1" customHeight="1" x14ac:dyDescent="0.25">
      <c r="B208" s="76"/>
      <c r="C208" s="226"/>
      <c r="D208" s="32" t="s">
        <v>252</v>
      </c>
      <c r="E208" s="172">
        <v>43250000</v>
      </c>
      <c r="F208" s="221">
        <v>13300000</v>
      </c>
      <c r="G208" s="235">
        <f t="shared" si="11"/>
        <v>30.751445086705203</v>
      </c>
      <c r="H208" s="235">
        <v>35</v>
      </c>
      <c r="I208" s="111"/>
    </row>
    <row r="209" spans="2:9" s="115" customFormat="1" ht="16.5" hidden="1" customHeight="1" x14ac:dyDescent="0.25">
      <c r="B209" s="157"/>
      <c r="C209" s="222"/>
      <c r="D209" s="48" t="s">
        <v>221</v>
      </c>
      <c r="E209" s="230">
        <v>9748900000</v>
      </c>
      <c r="F209" s="230">
        <v>9056094162</v>
      </c>
      <c r="G209" s="110">
        <f t="shared" si="11"/>
        <v>92.893497338161225</v>
      </c>
      <c r="H209" s="110">
        <f>SUM((H210:H214))/5</f>
        <v>94</v>
      </c>
      <c r="I209" s="121"/>
    </row>
    <row r="210" spans="2:9" ht="16.5" hidden="1" customHeight="1" x14ac:dyDescent="0.25">
      <c r="B210" s="76"/>
      <c r="C210" s="226"/>
      <c r="D210" s="32" t="s">
        <v>253</v>
      </c>
      <c r="E210" s="228">
        <v>1973450000</v>
      </c>
      <c r="F210" s="228">
        <v>1752910838</v>
      </c>
      <c r="G210" s="235">
        <f t="shared" si="11"/>
        <v>88.824689655172421</v>
      </c>
      <c r="H210" s="235">
        <v>90</v>
      </c>
      <c r="I210" s="111"/>
    </row>
    <row r="211" spans="2:9" ht="16.5" hidden="1" customHeight="1" x14ac:dyDescent="0.25">
      <c r="B211" s="76"/>
      <c r="C211" s="226"/>
      <c r="D211" s="32" t="s">
        <v>254</v>
      </c>
      <c r="E211" s="228">
        <v>2307750000</v>
      </c>
      <c r="F211" s="228">
        <v>2296166200</v>
      </c>
      <c r="G211" s="235">
        <f t="shared" si="11"/>
        <v>99.498047882136277</v>
      </c>
      <c r="H211" s="235">
        <v>100</v>
      </c>
      <c r="I211" s="111"/>
    </row>
    <row r="212" spans="2:9" ht="16.5" hidden="1" customHeight="1" x14ac:dyDescent="0.25">
      <c r="B212" s="76"/>
      <c r="C212" s="226"/>
      <c r="D212" s="32" t="s">
        <v>255</v>
      </c>
      <c r="E212" s="228">
        <v>269200000</v>
      </c>
      <c r="F212" s="228">
        <v>242101400</v>
      </c>
      <c r="G212" s="235">
        <f t="shared" si="11"/>
        <v>89.933655274888551</v>
      </c>
      <c r="H212" s="235">
        <v>90</v>
      </c>
      <c r="I212" s="111"/>
    </row>
    <row r="213" spans="2:9" ht="16.5" hidden="1" customHeight="1" x14ac:dyDescent="0.25">
      <c r="B213" s="76"/>
      <c r="C213" s="226"/>
      <c r="D213" s="32" t="s">
        <v>256</v>
      </c>
      <c r="E213" s="228">
        <v>1378500000</v>
      </c>
      <c r="F213" s="228">
        <v>1286069003</v>
      </c>
      <c r="G213" s="235">
        <f t="shared" si="11"/>
        <v>93.294813420384472</v>
      </c>
      <c r="H213" s="235">
        <v>95</v>
      </c>
      <c r="I213" s="111"/>
    </row>
    <row r="214" spans="2:9" ht="16.5" hidden="1" customHeight="1" x14ac:dyDescent="0.25">
      <c r="B214" s="76"/>
      <c r="C214" s="226"/>
      <c r="D214" s="32" t="s">
        <v>257</v>
      </c>
      <c r="E214" s="228">
        <v>3820000000</v>
      </c>
      <c r="F214" s="228">
        <v>3478846721</v>
      </c>
      <c r="G214" s="235">
        <f t="shared" si="11"/>
        <v>91.069285890052356</v>
      </c>
      <c r="H214" s="235">
        <v>95</v>
      </c>
      <c r="I214" s="111"/>
    </row>
    <row r="215" spans="2:9" ht="16.5" hidden="1" customHeight="1" x14ac:dyDescent="0.25">
      <c r="B215" s="76"/>
      <c r="C215" s="226"/>
      <c r="D215" s="32"/>
      <c r="E215" s="172"/>
      <c r="F215" s="108"/>
      <c r="G215" s="235"/>
      <c r="H215" s="110"/>
      <c r="I215" s="111"/>
    </row>
    <row r="216" spans="2:9" s="115" customFormat="1" ht="16.5" hidden="1" customHeight="1" x14ac:dyDescent="0.25">
      <c r="B216" s="157"/>
      <c r="C216" s="222"/>
      <c r="D216" s="48" t="s">
        <v>258</v>
      </c>
      <c r="E216" s="112">
        <f>+E217+E221+E224+E227</f>
        <v>12436320000</v>
      </c>
      <c r="F216" s="220">
        <f>+F217+F221+F224+F227</f>
        <v>12274779224</v>
      </c>
      <c r="G216" s="110">
        <f t="shared" ref="G216:G231" si="12">+F216/E216*100</f>
        <v>98.701056453999257</v>
      </c>
      <c r="H216" s="110">
        <f>(H217+H221+H224+H227)/4</f>
        <v>99.583333333333329</v>
      </c>
      <c r="I216" s="121"/>
    </row>
    <row r="217" spans="2:9" s="115" customFormat="1" ht="27" hidden="1" customHeight="1" x14ac:dyDescent="0.25">
      <c r="B217" s="157"/>
      <c r="C217" s="222"/>
      <c r="D217" s="217" t="s">
        <v>259</v>
      </c>
      <c r="E217" s="112">
        <v>4143598046</v>
      </c>
      <c r="F217" s="220">
        <f>SUM(F218:F220)</f>
        <v>4060522376</v>
      </c>
      <c r="G217" s="110">
        <f t="shared" si="12"/>
        <v>97.995083763489149</v>
      </c>
      <c r="H217" s="110">
        <f>SUM((H218:H220))/3</f>
        <v>98.333333333333329</v>
      </c>
      <c r="I217" s="121"/>
    </row>
    <row r="218" spans="2:9" ht="36.75" hidden="1" customHeight="1" x14ac:dyDescent="0.25">
      <c r="B218" s="76"/>
      <c r="C218" s="226"/>
      <c r="D218" s="119" t="s">
        <v>260</v>
      </c>
      <c r="E218" s="172">
        <v>158200000</v>
      </c>
      <c r="F218" s="221">
        <v>148865000</v>
      </c>
      <c r="G218" s="235">
        <f t="shared" si="12"/>
        <v>94.099241466498114</v>
      </c>
      <c r="H218" s="235">
        <v>95</v>
      </c>
      <c r="I218" s="111"/>
    </row>
    <row r="219" spans="2:9" ht="16.5" hidden="1" customHeight="1" x14ac:dyDescent="0.25">
      <c r="B219" s="76"/>
      <c r="C219" s="226"/>
      <c r="D219" s="32" t="s">
        <v>261</v>
      </c>
      <c r="E219" s="172">
        <v>2397799023</v>
      </c>
      <c r="F219" s="221">
        <v>2379266660</v>
      </c>
      <c r="G219" s="235">
        <f t="shared" si="12"/>
        <v>99.227109410662223</v>
      </c>
      <c r="H219" s="235">
        <v>100</v>
      </c>
      <c r="I219" s="111"/>
    </row>
    <row r="220" spans="2:9" ht="16.5" hidden="1" customHeight="1" x14ac:dyDescent="0.25">
      <c r="B220" s="76"/>
      <c r="C220" s="226"/>
      <c r="D220" s="32" t="s">
        <v>262</v>
      </c>
      <c r="E220" s="172">
        <v>1587599023</v>
      </c>
      <c r="F220" s="221">
        <v>1532390716</v>
      </c>
      <c r="G220" s="235">
        <f t="shared" si="12"/>
        <v>96.522528283264137</v>
      </c>
      <c r="H220" s="235">
        <v>100</v>
      </c>
      <c r="I220" s="111"/>
    </row>
    <row r="221" spans="2:9" s="115" customFormat="1" ht="16.5" hidden="1" customHeight="1" x14ac:dyDescent="0.25">
      <c r="B221" s="157"/>
      <c r="C221" s="222"/>
      <c r="D221" s="48" t="s">
        <v>263</v>
      </c>
      <c r="E221" s="112">
        <v>411685912</v>
      </c>
      <c r="F221" s="220">
        <f>+F222+F223</f>
        <v>399192379</v>
      </c>
      <c r="G221" s="110">
        <f t="shared" si="12"/>
        <v>96.965275556963931</v>
      </c>
      <c r="H221" s="110">
        <f>SUM((H222:H223))/2</f>
        <v>100</v>
      </c>
      <c r="I221" s="121"/>
    </row>
    <row r="222" spans="2:9" ht="16.5" hidden="1" customHeight="1" x14ac:dyDescent="0.25">
      <c r="B222" s="76"/>
      <c r="C222" s="226"/>
      <c r="D222" s="32" t="s">
        <v>264</v>
      </c>
      <c r="E222" s="172">
        <v>138634631</v>
      </c>
      <c r="F222" s="221">
        <v>136353200</v>
      </c>
      <c r="G222" s="235">
        <f t="shared" si="12"/>
        <v>98.354357072584548</v>
      </c>
      <c r="H222" s="235">
        <v>100</v>
      </c>
      <c r="I222" s="111"/>
    </row>
    <row r="223" spans="2:9" ht="16.5" hidden="1" customHeight="1" x14ac:dyDescent="0.25">
      <c r="B223" s="76"/>
      <c r="C223" s="226"/>
      <c r="D223" s="32" t="s">
        <v>265</v>
      </c>
      <c r="E223" s="172">
        <v>273051281</v>
      </c>
      <c r="F223" s="221">
        <v>262839179</v>
      </c>
      <c r="G223" s="235">
        <f t="shared" si="12"/>
        <v>96.260005826524576</v>
      </c>
      <c r="H223" s="235">
        <v>100</v>
      </c>
      <c r="I223" s="111"/>
    </row>
    <row r="224" spans="2:9" s="115" customFormat="1" ht="16.5" hidden="1" customHeight="1" x14ac:dyDescent="0.25">
      <c r="B224" s="157"/>
      <c r="C224" s="222"/>
      <c r="D224" s="48" t="s">
        <v>266</v>
      </c>
      <c r="E224" s="112">
        <f>SUM(E225:E226)</f>
        <v>2231893320</v>
      </c>
      <c r="F224" s="220">
        <f>+F225+F226</f>
        <v>2216639840</v>
      </c>
      <c r="G224" s="110">
        <f t="shared" si="12"/>
        <v>99.316567693298168</v>
      </c>
      <c r="H224" s="110">
        <f>SUM((H225:H226))/2</f>
        <v>100</v>
      </c>
      <c r="I224" s="121"/>
    </row>
    <row r="225" spans="2:9" ht="16.5" hidden="1" customHeight="1" x14ac:dyDescent="0.25">
      <c r="B225" s="76"/>
      <c r="C225" s="226"/>
      <c r="D225" s="32" t="s">
        <v>267</v>
      </c>
      <c r="E225" s="172">
        <v>974759140</v>
      </c>
      <c r="F225" s="221">
        <v>974699140</v>
      </c>
      <c r="G225" s="235">
        <f t="shared" si="12"/>
        <v>99.993844633249608</v>
      </c>
      <c r="H225" s="235">
        <v>100</v>
      </c>
      <c r="I225" s="111"/>
    </row>
    <row r="226" spans="2:9" ht="16.5" hidden="1" customHeight="1" x14ac:dyDescent="0.25">
      <c r="B226" s="76"/>
      <c r="C226" s="226"/>
      <c r="D226" s="32" t="s">
        <v>268</v>
      </c>
      <c r="E226" s="172">
        <v>1257134180</v>
      </c>
      <c r="F226" s="221">
        <v>1241940700</v>
      </c>
      <c r="G226" s="235">
        <f t="shared" si="12"/>
        <v>98.791419385319713</v>
      </c>
      <c r="H226" s="235">
        <v>100</v>
      </c>
      <c r="I226" s="111"/>
    </row>
    <row r="227" spans="2:9" s="115" customFormat="1" ht="16.5" hidden="1" customHeight="1" x14ac:dyDescent="0.25">
      <c r="B227" s="157"/>
      <c r="C227" s="222"/>
      <c r="D227" s="48" t="s">
        <v>269</v>
      </c>
      <c r="E227" s="112">
        <v>5649142722</v>
      </c>
      <c r="F227" s="220">
        <f>+F228+F229+F230+F231</f>
        <v>5598424629</v>
      </c>
      <c r="G227" s="110">
        <f t="shared" si="12"/>
        <v>99.102198413177206</v>
      </c>
      <c r="H227" s="110">
        <f>SUM((H228:H231))/4</f>
        <v>100</v>
      </c>
      <c r="I227" s="121"/>
    </row>
    <row r="228" spans="2:9" ht="16.5" hidden="1" customHeight="1" x14ac:dyDescent="0.25">
      <c r="B228" s="76"/>
      <c r="C228" s="226"/>
      <c r="D228" s="32" t="s">
        <v>270</v>
      </c>
      <c r="E228" s="172">
        <v>1674549159</v>
      </c>
      <c r="F228" s="221">
        <v>1671268459</v>
      </c>
      <c r="G228" s="235">
        <f t="shared" si="12"/>
        <v>99.804084581072601</v>
      </c>
      <c r="H228" s="235">
        <v>100</v>
      </c>
      <c r="I228" s="111"/>
    </row>
    <row r="229" spans="2:9" ht="16.5" hidden="1" customHeight="1" x14ac:dyDescent="0.25">
      <c r="B229" s="76"/>
      <c r="C229" s="226"/>
      <c r="D229" s="32" t="s">
        <v>271</v>
      </c>
      <c r="E229" s="172">
        <v>1830242870</v>
      </c>
      <c r="F229" s="221">
        <v>1820710870</v>
      </c>
      <c r="G229" s="235">
        <f t="shared" si="12"/>
        <v>99.479194802163065</v>
      </c>
      <c r="H229" s="235">
        <v>100</v>
      </c>
      <c r="I229" s="111"/>
    </row>
    <row r="230" spans="2:9" ht="16.5" hidden="1" customHeight="1" x14ac:dyDescent="0.25">
      <c r="B230" s="76"/>
      <c r="C230" s="226"/>
      <c r="D230" s="32" t="s">
        <v>272</v>
      </c>
      <c r="E230" s="172">
        <v>1181945083</v>
      </c>
      <c r="F230" s="221">
        <v>1173293200</v>
      </c>
      <c r="G230" s="235">
        <f t="shared" si="12"/>
        <v>99.26799619335614</v>
      </c>
      <c r="H230" s="235">
        <v>100</v>
      </c>
      <c r="I230" s="111"/>
    </row>
    <row r="231" spans="2:9" ht="16.5" hidden="1" customHeight="1" x14ac:dyDescent="0.25">
      <c r="B231" s="76"/>
      <c r="C231" s="226"/>
      <c r="D231" s="32" t="s">
        <v>273</v>
      </c>
      <c r="E231" s="172">
        <v>962405610</v>
      </c>
      <c r="F231" s="221">
        <v>933152100</v>
      </c>
      <c r="G231" s="235">
        <f t="shared" si="12"/>
        <v>96.960376197308335</v>
      </c>
      <c r="H231" s="235">
        <v>100</v>
      </c>
      <c r="I231" s="111"/>
    </row>
    <row r="232" spans="2:9" ht="16.5" hidden="1" customHeight="1" x14ac:dyDescent="0.25">
      <c r="B232" s="76"/>
      <c r="C232" s="226"/>
      <c r="D232" s="32"/>
      <c r="E232" s="172"/>
      <c r="F232" s="108"/>
      <c r="G232" s="235"/>
      <c r="H232" s="110"/>
      <c r="I232" s="111"/>
    </row>
    <row r="233" spans="2:9" s="115" customFormat="1" ht="16.5" hidden="1" customHeight="1" x14ac:dyDescent="0.25">
      <c r="B233" s="157"/>
      <c r="C233" s="222"/>
      <c r="D233" s="48" t="s">
        <v>274</v>
      </c>
      <c r="E233" s="112">
        <v>2000000000</v>
      </c>
      <c r="F233" s="220">
        <f>+F234+F242+F245+F249+F251+F253</f>
        <v>1990746000</v>
      </c>
      <c r="G233" s="110">
        <f t="shared" ref="G233:G256" si="13">+F233/E233*100</f>
        <v>99.537300000000002</v>
      </c>
      <c r="H233" s="110">
        <f>(H234+H242+H245+H249+H251+H253)/6</f>
        <v>99.880952380952365</v>
      </c>
      <c r="I233" s="121"/>
    </row>
    <row r="234" spans="2:9" s="115" customFormat="1" ht="16.5" hidden="1" customHeight="1" x14ac:dyDescent="0.25">
      <c r="B234" s="157"/>
      <c r="C234" s="222"/>
      <c r="D234" s="48" t="s">
        <v>275</v>
      </c>
      <c r="E234" s="112">
        <v>969035000</v>
      </c>
      <c r="F234" s="220">
        <f>SUM(F235:F241)</f>
        <v>960476000</v>
      </c>
      <c r="G234" s="110">
        <f t="shared" si="13"/>
        <v>99.116750168982549</v>
      </c>
      <c r="H234" s="110">
        <f>SUM((H235:H241))/7</f>
        <v>99.285714285714292</v>
      </c>
      <c r="I234" s="121"/>
    </row>
    <row r="235" spans="2:9" ht="16.5" hidden="1" customHeight="1" x14ac:dyDescent="0.25">
      <c r="B235" s="76"/>
      <c r="C235" s="226"/>
      <c r="D235" s="32" t="s">
        <v>276</v>
      </c>
      <c r="E235" s="172">
        <v>487500000</v>
      </c>
      <c r="F235" s="221">
        <v>487460000</v>
      </c>
      <c r="G235" s="235">
        <f t="shared" si="13"/>
        <v>99.991794871794866</v>
      </c>
      <c r="H235" s="235">
        <v>100</v>
      </c>
      <c r="I235" s="111"/>
    </row>
    <row r="236" spans="2:9" ht="16.5" hidden="1" customHeight="1" x14ac:dyDescent="0.25">
      <c r="B236" s="76"/>
      <c r="C236" s="226"/>
      <c r="D236" s="32" t="s">
        <v>277</v>
      </c>
      <c r="E236" s="172">
        <v>98550000</v>
      </c>
      <c r="F236" s="221">
        <v>98350000</v>
      </c>
      <c r="G236" s="235">
        <f t="shared" si="13"/>
        <v>99.797057331303904</v>
      </c>
      <c r="H236" s="235">
        <v>100</v>
      </c>
      <c r="I236" s="111"/>
    </row>
    <row r="237" spans="2:9" ht="16.5" hidden="1" customHeight="1" x14ac:dyDescent="0.25">
      <c r="B237" s="76"/>
      <c r="C237" s="226"/>
      <c r="D237" s="32" t="s">
        <v>278</v>
      </c>
      <c r="E237" s="172">
        <v>70635000</v>
      </c>
      <c r="F237" s="221">
        <v>70635000</v>
      </c>
      <c r="G237" s="235">
        <f t="shared" si="13"/>
        <v>100</v>
      </c>
      <c r="H237" s="235">
        <f t="shared" ref="H237:H269" si="14">+G237</f>
        <v>100</v>
      </c>
      <c r="I237" s="111"/>
    </row>
    <row r="238" spans="2:9" ht="16.5" hidden="1" customHeight="1" x14ac:dyDescent="0.25">
      <c r="B238" s="76"/>
      <c r="C238" s="226"/>
      <c r="D238" s="32" t="s">
        <v>279</v>
      </c>
      <c r="E238" s="172">
        <v>71000000</v>
      </c>
      <c r="F238" s="221">
        <v>71000000</v>
      </c>
      <c r="G238" s="235">
        <f t="shared" si="13"/>
        <v>100</v>
      </c>
      <c r="H238" s="235">
        <f t="shared" si="14"/>
        <v>100</v>
      </c>
      <c r="I238" s="111"/>
    </row>
    <row r="239" spans="2:9" ht="16.5" hidden="1" customHeight="1" x14ac:dyDescent="0.25">
      <c r="B239" s="76"/>
      <c r="C239" s="226"/>
      <c r="D239" s="32" t="s">
        <v>280</v>
      </c>
      <c r="E239" s="172">
        <v>88700000</v>
      </c>
      <c r="F239" s="221">
        <v>83358000</v>
      </c>
      <c r="G239" s="235">
        <f t="shared" si="13"/>
        <v>93.977452085682074</v>
      </c>
      <c r="H239" s="235">
        <v>95</v>
      </c>
      <c r="I239" s="111"/>
    </row>
    <row r="240" spans="2:9" ht="16.5" hidden="1" customHeight="1" x14ac:dyDescent="0.25">
      <c r="B240" s="76"/>
      <c r="C240" s="226"/>
      <c r="D240" s="32" t="s">
        <v>281</v>
      </c>
      <c r="E240" s="172">
        <v>67950000</v>
      </c>
      <c r="F240" s="221">
        <v>67950000</v>
      </c>
      <c r="G240" s="235">
        <f t="shared" si="13"/>
        <v>100</v>
      </c>
      <c r="H240" s="235">
        <f t="shared" si="14"/>
        <v>100</v>
      </c>
      <c r="I240" s="111"/>
    </row>
    <row r="241" spans="2:9" ht="16.5" hidden="1" customHeight="1" x14ac:dyDescent="0.25">
      <c r="B241" s="76"/>
      <c r="C241" s="226"/>
      <c r="D241" s="32" t="s">
        <v>282</v>
      </c>
      <c r="E241" s="172">
        <v>84700000</v>
      </c>
      <c r="F241" s="221">
        <v>81723000</v>
      </c>
      <c r="G241" s="235">
        <f t="shared" si="13"/>
        <v>96.485242030696568</v>
      </c>
      <c r="H241" s="235">
        <v>100</v>
      </c>
      <c r="I241" s="111"/>
    </row>
    <row r="242" spans="2:9" s="115" customFormat="1" ht="16.5" hidden="1" customHeight="1" x14ac:dyDescent="0.25">
      <c r="B242" s="157"/>
      <c r="C242" s="222"/>
      <c r="D242" s="48" t="s">
        <v>283</v>
      </c>
      <c r="E242" s="112">
        <v>168450000</v>
      </c>
      <c r="F242" s="220">
        <f>+F243+F244</f>
        <v>167830000</v>
      </c>
      <c r="G242" s="110">
        <f t="shared" si="13"/>
        <v>99.631938260611449</v>
      </c>
      <c r="H242" s="110">
        <f>SUM((H243:H244))/2</f>
        <v>100</v>
      </c>
      <c r="I242" s="121"/>
    </row>
    <row r="243" spans="2:9" ht="16.5" hidden="1" customHeight="1" x14ac:dyDescent="0.25">
      <c r="B243" s="76"/>
      <c r="C243" s="226"/>
      <c r="D243" s="32" t="s">
        <v>284</v>
      </c>
      <c r="E243" s="172">
        <v>75000000</v>
      </c>
      <c r="F243" s="221">
        <v>75000000</v>
      </c>
      <c r="G243" s="235">
        <f t="shared" si="13"/>
        <v>100</v>
      </c>
      <c r="H243" s="235">
        <f t="shared" si="14"/>
        <v>100</v>
      </c>
      <c r="I243" s="111"/>
    </row>
    <row r="244" spans="2:9" ht="16.5" hidden="1" customHeight="1" x14ac:dyDescent="0.25">
      <c r="B244" s="76"/>
      <c r="C244" s="226"/>
      <c r="D244" s="32" t="s">
        <v>285</v>
      </c>
      <c r="E244" s="172">
        <v>93450000</v>
      </c>
      <c r="F244" s="221">
        <v>92830000</v>
      </c>
      <c r="G244" s="235">
        <f t="shared" si="13"/>
        <v>99.336543606206533</v>
      </c>
      <c r="H244" s="235">
        <v>100</v>
      </c>
      <c r="I244" s="111"/>
    </row>
    <row r="245" spans="2:9" s="115" customFormat="1" ht="16.5" hidden="1" customHeight="1" x14ac:dyDescent="0.25">
      <c r="B245" s="157"/>
      <c r="C245" s="222"/>
      <c r="D245" s="48" t="s">
        <v>286</v>
      </c>
      <c r="E245" s="112">
        <v>306068405</v>
      </c>
      <c r="F245" s="220">
        <f>+F246+F247+F248</f>
        <v>305993405</v>
      </c>
      <c r="G245" s="110">
        <f t="shared" si="13"/>
        <v>99.975495673916427</v>
      </c>
      <c r="H245" s="110">
        <f>SUM((H246:H248))/3</f>
        <v>100</v>
      </c>
      <c r="I245" s="121"/>
    </row>
    <row r="246" spans="2:9" ht="16.5" hidden="1" customHeight="1" x14ac:dyDescent="0.25">
      <c r="B246" s="76"/>
      <c r="C246" s="226"/>
      <c r="D246" s="32" t="s">
        <v>287</v>
      </c>
      <c r="E246" s="172">
        <v>81150000</v>
      </c>
      <c r="F246" s="221">
        <v>81150000</v>
      </c>
      <c r="G246" s="235">
        <f t="shared" si="13"/>
        <v>100</v>
      </c>
      <c r="H246" s="235">
        <f t="shared" si="14"/>
        <v>100</v>
      </c>
      <c r="I246" s="111"/>
    </row>
    <row r="247" spans="2:9" ht="16.5" hidden="1" customHeight="1" x14ac:dyDescent="0.25">
      <c r="B247" s="76"/>
      <c r="C247" s="226"/>
      <c r="D247" s="32" t="s">
        <v>288</v>
      </c>
      <c r="E247" s="172">
        <v>102925000</v>
      </c>
      <c r="F247" s="221">
        <v>102850000</v>
      </c>
      <c r="G247" s="235">
        <f t="shared" si="13"/>
        <v>99.927131406363856</v>
      </c>
      <c r="H247" s="235">
        <v>100</v>
      </c>
      <c r="I247" s="111"/>
    </row>
    <row r="248" spans="2:9" ht="16.5" hidden="1" customHeight="1" x14ac:dyDescent="0.25">
      <c r="B248" s="76"/>
      <c r="C248" s="226"/>
      <c r="D248" s="32" t="s">
        <v>289</v>
      </c>
      <c r="E248" s="172">
        <v>121993405</v>
      </c>
      <c r="F248" s="221">
        <v>121993405</v>
      </c>
      <c r="G248" s="235">
        <f t="shared" si="13"/>
        <v>100</v>
      </c>
      <c r="H248" s="235">
        <f t="shared" si="14"/>
        <v>100</v>
      </c>
      <c r="I248" s="111"/>
    </row>
    <row r="249" spans="2:9" s="115" customFormat="1" ht="16.5" hidden="1" customHeight="1" x14ac:dyDescent="0.25">
      <c r="B249" s="157"/>
      <c r="C249" s="222"/>
      <c r="D249" s="48" t="s">
        <v>290</v>
      </c>
      <c r="E249" s="112">
        <v>94050000</v>
      </c>
      <c r="F249" s="220">
        <f>+F250</f>
        <v>94050000</v>
      </c>
      <c r="G249" s="110">
        <f t="shared" si="13"/>
        <v>100</v>
      </c>
      <c r="H249" s="110">
        <f t="shared" si="14"/>
        <v>100</v>
      </c>
      <c r="I249" s="121"/>
    </row>
    <row r="250" spans="2:9" ht="16.5" hidden="1" customHeight="1" x14ac:dyDescent="0.25">
      <c r="B250" s="76"/>
      <c r="C250" s="226"/>
      <c r="D250" s="32" t="s">
        <v>291</v>
      </c>
      <c r="E250" s="172">
        <v>94050000</v>
      </c>
      <c r="F250" s="221">
        <v>94050000</v>
      </c>
      <c r="G250" s="235">
        <f t="shared" si="13"/>
        <v>100</v>
      </c>
      <c r="H250" s="235">
        <f t="shared" si="14"/>
        <v>100</v>
      </c>
      <c r="I250" s="111"/>
    </row>
    <row r="251" spans="2:9" s="115" customFormat="1" ht="16.5" hidden="1" customHeight="1" x14ac:dyDescent="0.25">
      <c r="B251" s="157"/>
      <c r="C251" s="222"/>
      <c r="D251" s="48" t="s">
        <v>292</v>
      </c>
      <c r="E251" s="112">
        <v>126980000</v>
      </c>
      <c r="F251" s="220">
        <f>+F252</f>
        <v>126980000</v>
      </c>
      <c r="G251" s="110">
        <f t="shared" si="13"/>
        <v>100</v>
      </c>
      <c r="H251" s="110">
        <f t="shared" si="14"/>
        <v>100</v>
      </c>
      <c r="I251" s="121"/>
    </row>
    <row r="252" spans="2:9" ht="33.75" hidden="1" customHeight="1" x14ac:dyDescent="0.25">
      <c r="B252" s="76"/>
      <c r="C252" s="226"/>
      <c r="D252" s="119" t="s">
        <v>293</v>
      </c>
      <c r="E252" s="172">
        <v>126980000</v>
      </c>
      <c r="F252" s="221">
        <v>126980000</v>
      </c>
      <c r="G252" s="235">
        <f t="shared" si="13"/>
        <v>100</v>
      </c>
      <c r="H252" s="235">
        <f t="shared" si="14"/>
        <v>100</v>
      </c>
      <c r="I252" s="111"/>
    </row>
    <row r="253" spans="2:9" s="115" customFormat="1" ht="16.5" hidden="1" customHeight="1" x14ac:dyDescent="0.25">
      <c r="B253" s="157"/>
      <c r="C253" s="222"/>
      <c r="D253" s="48" t="s">
        <v>294</v>
      </c>
      <c r="E253" s="112">
        <v>335416595</v>
      </c>
      <c r="F253" s="220">
        <f>+F254+F255+F256</f>
        <v>335416595</v>
      </c>
      <c r="G253" s="110">
        <f t="shared" si="13"/>
        <v>100</v>
      </c>
      <c r="H253" s="110">
        <f t="shared" si="14"/>
        <v>100</v>
      </c>
      <c r="I253" s="121"/>
    </row>
    <row r="254" spans="2:9" ht="16.5" hidden="1" customHeight="1" x14ac:dyDescent="0.25">
      <c r="B254" s="76"/>
      <c r="C254" s="226"/>
      <c r="D254" s="32" t="s">
        <v>295</v>
      </c>
      <c r="E254" s="172">
        <v>93141595</v>
      </c>
      <c r="F254" s="221">
        <v>93141595</v>
      </c>
      <c r="G254" s="235">
        <f t="shared" si="13"/>
        <v>100</v>
      </c>
      <c r="H254" s="235">
        <f t="shared" si="14"/>
        <v>100</v>
      </c>
      <c r="I254" s="111"/>
    </row>
    <row r="255" spans="2:9" ht="16.5" hidden="1" customHeight="1" x14ac:dyDescent="0.25">
      <c r="B255" s="76"/>
      <c r="C255" s="226"/>
      <c r="D255" s="32" t="s">
        <v>296</v>
      </c>
      <c r="E255" s="172">
        <v>127500000</v>
      </c>
      <c r="F255" s="221">
        <v>127500000</v>
      </c>
      <c r="G255" s="235">
        <f t="shared" si="13"/>
        <v>100</v>
      </c>
      <c r="H255" s="235">
        <f t="shared" si="14"/>
        <v>100</v>
      </c>
      <c r="I255" s="111"/>
    </row>
    <row r="256" spans="2:9" ht="16.5" hidden="1" customHeight="1" x14ac:dyDescent="0.25">
      <c r="B256" s="76"/>
      <c r="C256" s="226"/>
      <c r="D256" s="32" t="s">
        <v>297</v>
      </c>
      <c r="E256" s="172">
        <v>114775000</v>
      </c>
      <c r="F256" s="221">
        <v>114775000</v>
      </c>
      <c r="G256" s="235">
        <f t="shared" si="13"/>
        <v>100</v>
      </c>
      <c r="H256" s="235">
        <f t="shared" si="14"/>
        <v>100</v>
      </c>
      <c r="I256" s="111"/>
    </row>
    <row r="257" spans="2:9" ht="18" hidden="1" customHeight="1" x14ac:dyDescent="0.25">
      <c r="B257" s="76"/>
      <c r="C257" s="226"/>
      <c r="D257" s="32"/>
      <c r="E257" s="172"/>
      <c r="F257" s="108"/>
      <c r="G257" s="235"/>
      <c r="H257" s="110"/>
      <c r="I257" s="111"/>
    </row>
    <row r="258" spans="2:9" s="115" customFormat="1" ht="16.5" hidden="1" customHeight="1" x14ac:dyDescent="0.25">
      <c r="B258" s="157"/>
      <c r="C258" s="222"/>
      <c r="D258" s="48" t="s">
        <v>298</v>
      </c>
      <c r="E258" s="112">
        <v>5916400000</v>
      </c>
      <c r="F258" s="220">
        <f>+F259+F265+F271</f>
        <v>5889905800</v>
      </c>
      <c r="G258" s="110">
        <f t="shared" ref="G258:G275" si="15">+F258/E258*100</f>
        <v>99.552190521262929</v>
      </c>
      <c r="H258" s="110">
        <f>(H259+H265+H271)/3</f>
        <v>100</v>
      </c>
      <c r="I258" s="121"/>
    </row>
    <row r="259" spans="2:9" s="115" customFormat="1" ht="16.5" hidden="1" customHeight="1" x14ac:dyDescent="0.25">
      <c r="B259" s="157"/>
      <c r="C259" s="222"/>
      <c r="D259" s="48" t="s">
        <v>299</v>
      </c>
      <c r="E259" s="112">
        <v>1650000000</v>
      </c>
      <c r="F259" s="220">
        <f>SUM(F260:F264)</f>
        <v>1645274000</v>
      </c>
      <c r="G259" s="110">
        <f t="shared" si="15"/>
        <v>99.713575757575754</v>
      </c>
      <c r="H259" s="110">
        <f>SUM((H260:H264))/5</f>
        <v>100</v>
      </c>
      <c r="I259" s="121"/>
    </row>
    <row r="260" spans="2:9" ht="16.5" hidden="1" customHeight="1" x14ac:dyDescent="0.25">
      <c r="B260" s="76"/>
      <c r="C260" s="226"/>
      <c r="D260" s="32" t="s">
        <v>300</v>
      </c>
      <c r="E260" s="172">
        <v>334650000</v>
      </c>
      <c r="F260" s="221">
        <v>334650000</v>
      </c>
      <c r="G260" s="235">
        <f t="shared" si="15"/>
        <v>100</v>
      </c>
      <c r="H260" s="235">
        <f t="shared" si="14"/>
        <v>100</v>
      </c>
      <c r="I260" s="111"/>
    </row>
    <row r="261" spans="2:9" ht="16.5" hidden="1" customHeight="1" x14ac:dyDescent="0.25">
      <c r="B261" s="76"/>
      <c r="C261" s="226"/>
      <c r="D261" s="32" t="s">
        <v>301</v>
      </c>
      <c r="E261" s="172">
        <v>450000000</v>
      </c>
      <c r="F261" s="221">
        <v>450000000</v>
      </c>
      <c r="G261" s="235">
        <f t="shared" si="15"/>
        <v>100</v>
      </c>
      <c r="H261" s="235">
        <f t="shared" si="14"/>
        <v>100</v>
      </c>
      <c r="I261" s="111"/>
    </row>
    <row r="262" spans="2:9" ht="16.5" hidden="1" customHeight="1" x14ac:dyDescent="0.25">
      <c r="B262" s="76"/>
      <c r="C262" s="226"/>
      <c r="D262" s="32" t="s">
        <v>302</v>
      </c>
      <c r="E262" s="172">
        <v>213200000</v>
      </c>
      <c r="F262" s="221">
        <v>212680600</v>
      </c>
      <c r="G262" s="235">
        <f t="shared" si="15"/>
        <v>99.756378986866793</v>
      </c>
      <c r="H262" s="235">
        <v>100</v>
      </c>
      <c r="I262" s="111"/>
    </row>
    <row r="263" spans="2:9" ht="16.5" hidden="1" customHeight="1" x14ac:dyDescent="0.25">
      <c r="B263" s="76"/>
      <c r="C263" s="226"/>
      <c r="D263" s="32" t="s">
        <v>303</v>
      </c>
      <c r="E263" s="172">
        <v>452150000</v>
      </c>
      <c r="F263" s="221">
        <v>447943400</v>
      </c>
      <c r="G263" s="235">
        <f t="shared" si="15"/>
        <v>99.069645029304425</v>
      </c>
      <c r="H263" s="235">
        <v>100</v>
      </c>
      <c r="I263" s="111"/>
    </row>
    <row r="264" spans="2:9" ht="16.5" hidden="1" customHeight="1" x14ac:dyDescent="0.25">
      <c r="B264" s="76"/>
      <c r="C264" s="226"/>
      <c r="D264" s="32" t="s">
        <v>304</v>
      </c>
      <c r="E264" s="172">
        <v>200000000</v>
      </c>
      <c r="F264" s="221">
        <v>200000000</v>
      </c>
      <c r="G264" s="235">
        <f t="shared" si="15"/>
        <v>100</v>
      </c>
      <c r="H264" s="235">
        <f t="shared" si="14"/>
        <v>100</v>
      </c>
      <c r="I264" s="111"/>
    </row>
    <row r="265" spans="2:9" s="115" customFormat="1" ht="18.75" hidden="1" customHeight="1" x14ac:dyDescent="0.25">
      <c r="B265" s="157"/>
      <c r="C265" s="222"/>
      <c r="D265" s="217" t="s">
        <v>305</v>
      </c>
      <c r="E265" s="112">
        <v>2266400000</v>
      </c>
      <c r="F265" s="220">
        <f>SUM(F266:F270)</f>
        <v>2255388800</v>
      </c>
      <c r="G265" s="110">
        <f t="shared" si="15"/>
        <v>99.514154606424285</v>
      </c>
      <c r="H265" s="110">
        <f>SUM((H266:H270))/5</f>
        <v>100</v>
      </c>
      <c r="I265" s="121"/>
    </row>
    <row r="266" spans="2:9" ht="16.5" hidden="1" customHeight="1" x14ac:dyDescent="0.25">
      <c r="B266" s="76"/>
      <c r="C266" s="226"/>
      <c r="D266" s="32" t="s">
        <v>306</v>
      </c>
      <c r="E266" s="172">
        <v>350000000</v>
      </c>
      <c r="F266" s="221">
        <v>348659600</v>
      </c>
      <c r="G266" s="235">
        <f t="shared" si="15"/>
        <v>99.617028571428563</v>
      </c>
      <c r="H266" s="235">
        <v>100</v>
      </c>
      <c r="I266" s="111"/>
    </row>
    <row r="267" spans="2:9" ht="16.5" hidden="1" customHeight="1" x14ac:dyDescent="0.25">
      <c r="B267" s="76"/>
      <c r="C267" s="226"/>
      <c r="D267" s="32" t="s">
        <v>307</v>
      </c>
      <c r="E267" s="172">
        <v>915400000</v>
      </c>
      <c r="F267" s="221">
        <v>914696200</v>
      </c>
      <c r="G267" s="235">
        <f t="shared" si="15"/>
        <v>99.923115577889448</v>
      </c>
      <c r="H267" s="235">
        <v>100</v>
      </c>
      <c r="I267" s="111"/>
    </row>
    <row r="268" spans="2:9" ht="16.5" hidden="1" customHeight="1" x14ac:dyDescent="0.25">
      <c r="B268" s="76"/>
      <c r="C268" s="226"/>
      <c r="D268" s="32" t="s">
        <v>308</v>
      </c>
      <c r="E268" s="172">
        <v>207785000</v>
      </c>
      <c r="F268" s="221">
        <v>200818000</v>
      </c>
      <c r="G268" s="235">
        <f t="shared" si="15"/>
        <v>96.647014943330845</v>
      </c>
      <c r="H268" s="235">
        <v>100</v>
      </c>
      <c r="I268" s="111"/>
    </row>
    <row r="269" spans="2:9" ht="16.5" hidden="1" customHeight="1" x14ac:dyDescent="0.25">
      <c r="B269" s="76"/>
      <c r="C269" s="226"/>
      <c r="D269" s="32" t="s">
        <v>309</v>
      </c>
      <c r="E269" s="172">
        <v>324615000</v>
      </c>
      <c r="F269" s="221">
        <v>324615000</v>
      </c>
      <c r="G269" s="235">
        <f t="shared" si="15"/>
        <v>100</v>
      </c>
      <c r="H269" s="235">
        <f t="shared" si="14"/>
        <v>100</v>
      </c>
      <c r="I269" s="111"/>
    </row>
    <row r="270" spans="2:9" ht="16.5" hidden="1" customHeight="1" x14ac:dyDescent="0.25">
      <c r="B270" s="76"/>
      <c r="C270" s="226"/>
      <c r="D270" s="32" t="s">
        <v>310</v>
      </c>
      <c r="E270" s="172">
        <v>468600000</v>
      </c>
      <c r="F270" s="221">
        <v>466600000</v>
      </c>
      <c r="G270" s="235">
        <f t="shared" si="15"/>
        <v>99.573196756295346</v>
      </c>
      <c r="H270" s="235">
        <v>100</v>
      </c>
      <c r="I270" s="111"/>
    </row>
    <row r="271" spans="2:9" s="115" customFormat="1" ht="16.5" hidden="1" customHeight="1" x14ac:dyDescent="0.25">
      <c r="B271" s="157"/>
      <c r="C271" s="222"/>
      <c r="D271" s="48" t="s">
        <v>311</v>
      </c>
      <c r="E271" s="112">
        <v>2000000000</v>
      </c>
      <c r="F271" s="220">
        <f>SUM(F272:F275)</f>
        <v>1989243000</v>
      </c>
      <c r="G271" s="110">
        <f t="shared" si="15"/>
        <v>99.462150000000008</v>
      </c>
      <c r="H271" s="110">
        <f>SUM((H272:H275))/4</f>
        <v>100</v>
      </c>
      <c r="I271" s="121"/>
    </row>
    <row r="272" spans="2:9" ht="16.5" hidden="1" customHeight="1" x14ac:dyDescent="0.25">
      <c r="B272" s="76"/>
      <c r="C272" s="226"/>
      <c r="D272" s="32" t="s">
        <v>312</v>
      </c>
      <c r="E272" s="172">
        <v>252650000</v>
      </c>
      <c r="F272" s="221">
        <v>250283000</v>
      </c>
      <c r="G272" s="235">
        <f t="shared" si="15"/>
        <v>99.06313081337818</v>
      </c>
      <c r="H272" s="235">
        <v>100</v>
      </c>
      <c r="I272" s="111"/>
    </row>
    <row r="273" spans="2:9" ht="16.5" hidden="1" customHeight="1" x14ac:dyDescent="0.25">
      <c r="B273" s="76"/>
      <c r="C273" s="226"/>
      <c r="D273" s="32" t="s">
        <v>313</v>
      </c>
      <c r="E273" s="172">
        <v>249775000</v>
      </c>
      <c r="F273" s="221">
        <v>249775000</v>
      </c>
      <c r="G273" s="235">
        <f t="shared" si="15"/>
        <v>100</v>
      </c>
      <c r="H273" s="235">
        <f t="shared" ref="H273:H309" si="16">+G273</f>
        <v>100</v>
      </c>
      <c r="I273" s="111"/>
    </row>
    <row r="274" spans="2:9" ht="16.5" hidden="1" customHeight="1" x14ac:dyDescent="0.25">
      <c r="B274" s="76"/>
      <c r="C274" s="226"/>
      <c r="D274" s="32" t="s">
        <v>314</v>
      </c>
      <c r="E274" s="172">
        <v>1000000000</v>
      </c>
      <c r="F274" s="221">
        <v>991610000</v>
      </c>
      <c r="G274" s="235">
        <f t="shared" si="15"/>
        <v>99.161000000000001</v>
      </c>
      <c r="H274" s="235">
        <v>100</v>
      </c>
      <c r="I274" s="111"/>
    </row>
    <row r="275" spans="2:9" ht="16.5" hidden="1" customHeight="1" x14ac:dyDescent="0.25">
      <c r="B275" s="76"/>
      <c r="C275" s="226"/>
      <c r="D275" s="32" t="s">
        <v>315</v>
      </c>
      <c r="E275" s="172">
        <v>497575000</v>
      </c>
      <c r="F275" s="221">
        <v>497575000</v>
      </c>
      <c r="G275" s="235">
        <f t="shared" si="15"/>
        <v>100</v>
      </c>
      <c r="H275" s="235">
        <f t="shared" si="16"/>
        <v>100</v>
      </c>
      <c r="I275" s="111"/>
    </row>
    <row r="276" spans="2:9" ht="16.5" hidden="1" customHeight="1" x14ac:dyDescent="0.25">
      <c r="B276" s="76"/>
      <c r="C276" s="226"/>
      <c r="D276" s="32"/>
      <c r="E276" s="172"/>
      <c r="F276" s="108"/>
      <c r="G276" s="235"/>
      <c r="H276" s="110"/>
      <c r="I276" s="111"/>
    </row>
    <row r="277" spans="2:9" s="115" customFormat="1" ht="16.5" hidden="1" customHeight="1" x14ac:dyDescent="0.25">
      <c r="B277" s="157"/>
      <c r="C277" s="222"/>
      <c r="D277" s="48" t="s">
        <v>316</v>
      </c>
      <c r="E277" s="112">
        <v>3000000000</v>
      </c>
      <c r="F277" s="220">
        <f>+F278+F280</f>
        <v>2993840049</v>
      </c>
      <c r="G277" s="110">
        <f t="shared" ref="G277:G289" si="17">+F277/E277*100</f>
        <v>99.794668299999998</v>
      </c>
      <c r="H277" s="110">
        <f>(H278+H280)/2</f>
        <v>100</v>
      </c>
      <c r="I277" s="121"/>
    </row>
    <row r="278" spans="2:9" s="115" customFormat="1" ht="18.75" hidden="1" customHeight="1" x14ac:dyDescent="0.25">
      <c r="B278" s="157"/>
      <c r="C278" s="222"/>
      <c r="D278" s="217" t="s">
        <v>317</v>
      </c>
      <c r="E278" s="112">
        <v>235600000</v>
      </c>
      <c r="F278" s="220">
        <f>+F279</f>
        <v>235600000</v>
      </c>
      <c r="G278" s="110">
        <f t="shared" si="17"/>
        <v>100</v>
      </c>
      <c r="H278" s="110">
        <f t="shared" si="16"/>
        <v>100</v>
      </c>
      <c r="I278" s="121"/>
    </row>
    <row r="279" spans="2:9" ht="16.5" hidden="1" customHeight="1" x14ac:dyDescent="0.25">
      <c r="B279" s="76"/>
      <c r="C279" s="226"/>
      <c r="D279" s="32" t="s">
        <v>318</v>
      </c>
      <c r="E279" s="172">
        <v>235600000</v>
      </c>
      <c r="F279" s="221">
        <v>235600000</v>
      </c>
      <c r="G279" s="235">
        <f t="shared" si="17"/>
        <v>100</v>
      </c>
      <c r="H279" s="235">
        <f t="shared" si="16"/>
        <v>100</v>
      </c>
      <c r="I279" s="111"/>
    </row>
    <row r="280" spans="2:9" s="115" customFormat="1" ht="16.5" hidden="1" customHeight="1" x14ac:dyDescent="0.25">
      <c r="B280" s="157"/>
      <c r="C280" s="222"/>
      <c r="D280" s="48" t="s">
        <v>319</v>
      </c>
      <c r="E280" s="112">
        <v>2764400000</v>
      </c>
      <c r="F280" s="220">
        <f>SUM(F281:F289)</f>
        <v>2758240049</v>
      </c>
      <c r="G280" s="110">
        <f t="shared" si="17"/>
        <v>99.777168608016211</v>
      </c>
      <c r="H280" s="110">
        <f>SUM((H281:H289))/9</f>
        <v>100</v>
      </c>
      <c r="I280" s="121"/>
    </row>
    <row r="281" spans="2:9" ht="16.5" hidden="1" customHeight="1" x14ac:dyDescent="0.25">
      <c r="B281" s="76"/>
      <c r="C281" s="226"/>
      <c r="D281" s="32" t="s">
        <v>320</v>
      </c>
      <c r="E281" s="172">
        <v>250000000</v>
      </c>
      <c r="F281" s="221">
        <v>250000000</v>
      </c>
      <c r="G281" s="235">
        <f t="shared" si="17"/>
        <v>100</v>
      </c>
      <c r="H281" s="235">
        <f t="shared" si="16"/>
        <v>100</v>
      </c>
      <c r="I281" s="111"/>
    </row>
    <row r="282" spans="2:9" ht="16.5" hidden="1" customHeight="1" x14ac:dyDescent="0.25">
      <c r="B282" s="76"/>
      <c r="C282" s="226"/>
      <c r="D282" s="32" t="s">
        <v>321</v>
      </c>
      <c r="E282" s="172">
        <v>250000000</v>
      </c>
      <c r="F282" s="221">
        <v>249614400</v>
      </c>
      <c r="G282" s="235">
        <f t="shared" si="17"/>
        <v>99.845759999999999</v>
      </c>
      <c r="H282" s="235">
        <v>100</v>
      </c>
      <c r="I282" s="111"/>
    </row>
    <row r="283" spans="2:9" ht="16.5" hidden="1" customHeight="1" x14ac:dyDescent="0.25">
      <c r="B283" s="76"/>
      <c r="C283" s="226"/>
      <c r="D283" s="32" t="s">
        <v>322</v>
      </c>
      <c r="E283" s="172">
        <v>764400000</v>
      </c>
      <c r="F283" s="221">
        <v>763973599</v>
      </c>
      <c r="G283" s="235">
        <f t="shared" si="17"/>
        <v>99.944217556253264</v>
      </c>
      <c r="H283" s="235">
        <v>100</v>
      </c>
      <c r="I283" s="111"/>
    </row>
    <row r="284" spans="2:9" ht="16.5" hidden="1" customHeight="1" x14ac:dyDescent="0.25">
      <c r="B284" s="76"/>
      <c r="C284" s="226"/>
      <c r="D284" s="32" t="s">
        <v>323</v>
      </c>
      <c r="E284" s="172">
        <v>250000000</v>
      </c>
      <c r="F284" s="221">
        <v>249849400</v>
      </c>
      <c r="G284" s="235">
        <f t="shared" si="17"/>
        <v>99.939760000000007</v>
      </c>
      <c r="H284" s="235">
        <v>100</v>
      </c>
      <c r="I284" s="111"/>
    </row>
    <row r="285" spans="2:9" ht="16.5" hidden="1" customHeight="1" x14ac:dyDescent="0.25">
      <c r="B285" s="76"/>
      <c r="C285" s="226"/>
      <c r="D285" s="32" t="s">
        <v>324</v>
      </c>
      <c r="E285" s="172">
        <v>250000000</v>
      </c>
      <c r="F285" s="221">
        <v>250000000</v>
      </c>
      <c r="G285" s="235">
        <f t="shared" si="17"/>
        <v>100</v>
      </c>
      <c r="H285" s="235">
        <f t="shared" si="16"/>
        <v>100</v>
      </c>
      <c r="I285" s="111"/>
    </row>
    <row r="286" spans="2:9" ht="16.5" hidden="1" customHeight="1" x14ac:dyDescent="0.25">
      <c r="B286" s="76"/>
      <c r="C286" s="226"/>
      <c r="D286" s="32" t="s">
        <v>325</v>
      </c>
      <c r="E286" s="172">
        <v>250000000</v>
      </c>
      <c r="F286" s="221">
        <v>246367000</v>
      </c>
      <c r="G286" s="235">
        <f t="shared" si="17"/>
        <v>98.546800000000005</v>
      </c>
      <c r="H286" s="235">
        <v>100</v>
      </c>
      <c r="I286" s="111"/>
    </row>
    <row r="287" spans="2:9" ht="16.5" hidden="1" customHeight="1" x14ac:dyDescent="0.25">
      <c r="B287" s="76"/>
      <c r="C287" s="226"/>
      <c r="D287" s="32" t="s">
        <v>326</v>
      </c>
      <c r="E287" s="172">
        <v>250000000</v>
      </c>
      <c r="F287" s="221">
        <v>248435650</v>
      </c>
      <c r="G287" s="235">
        <f t="shared" si="17"/>
        <v>99.374260000000007</v>
      </c>
      <c r="H287" s="235">
        <v>100</v>
      </c>
      <c r="I287" s="111"/>
    </row>
    <row r="288" spans="2:9" ht="16.5" hidden="1" customHeight="1" x14ac:dyDescent="0.25">
      <c r="B288" s="76"/>
      <c r="C288" s="226"/>
      <c r="D288" s="32" t="s">
        <v>327</v>
      </c>
      <c r="E288" s="172">
        <v>250000000</v>
      </c>
      <c r="F288" s="221">
        <v>250000000</v>
      </c>
      <c r="G288" s="235">
        <f t="shared" si="17"/>
        <v>100</v>
      </c>
      <c r="H288" s="235">
        <f t="shared" si="16"/>
        <v>100</v>
      </c>
      <c r="I288" s="111"/>
    </row>
    <row r="289" spans="2:9" ht="16.5" hidden="1" customHeight="1" x14ac:dyDescent="0.25">
      <c r="B289" s="76"/>
      <c r="C289" s="226"/>
      <c r="D289" s="32" t="s">
        <v>328</v>
      </c>
      <c r="E289" s="172">
        <v>250000000</v>
      </c>
      <c r="F289" s="221">
        <v>250000000</v>
      </c>
      <c r="G289" s="235">
        <f t="shared" si="17"/>
        <v>100</v>
      </c>
      <c r="H289" s="235">
        <f t="shared" si="16"/>
        <v>100</v>
      </c>
      <c r="I289" s="111"/>
    </row>
    <row r="290" spans="2:9" ht="16.5" hidden="1" customHeight="1" x14ac:dyDescent="0.25">
      <c r="B290" s="76"/>
      <c r="C290" s="226"/>
      <c r="D290" s="32"/>
      <c r="E290" s="172"/>
      <c r="F290" s="108"/>
      <c r="G290" s="235"/>
      <c r="H290" s="110"/>
      <c r="I290" s="111"/>
    </row>
    <row r="291" spans="2:9" s="115" customFormat="1" ht="16.5" hidden="1" customHeight="1" x14ac:dyDescent="0.25">
      <c r="B291" s="157"/>
      <c r="C291" s="222"/>
      <c r="D291" s="48" t="s">
        <v>329</v>
      </c>
      <c r="E291" s="112">
        <v>10000000000</v>
      </c>
      <c r="F291" s="220">
        <v>9844552900</v>
      </c>
      <c r="G291" s="110">
        <f t="shared" ref="G291:G309" si="18">+F291/E291*100</f>
        <v>98.445528999999993</v>
      </c>
      <c r="H291" s="110">
        <f>(H292+H297+H301+H305+H307)/5</f>
        <v>99.25</v>
      </c>
      <c r="I291" s="121"/>
    </row>
    <row r="292" spans="2:9" s="115" customFormat="1" ht="16.5" hidden="1" customHeight="1" x14ac:dyDescent="0.25">
      <c r="B292" s="157"/>
      <c r="C292" s="222"/>
      <c r="D292" s="48" t="s">
        <v>330</v>
      </c>
      <c r="E292" s="112">
        <v>2460875000</v>
      </c>
      <c r="F292" s="220">
        <f>SUM(F293:F296)</f>
        <v>2321834500</v>
      </c>
      <c r="G292" s="110">
        <f t="shared" si="18"/>
        <v>94.349956824300293</v>
      </c>
      <c r="H292" s="110">
        <f>SUM((H293:H296))/4</f>
        <v>96.25</v>
      </c>
      <c r="I292" s="121"/>
    </row>
    <row r="293" spans="2:9" ht="18.75" hidden="1" customHeight="1" x14ac:dyDescent="0.25">
      <c r="B293" s="76"/>
      <c r="C293" s="226"/>
      <c r="D293" s="119" t="s">
        <v>331</v>
      </c>
      <c r="E293" s="172">
        <v>500000000</v>
      </c>
      <c r="F293" s="221">
        <v>478541400</v>
      </c>
      <c r="G293" s="235">
        <f t="shared" si="18"/>
        <v>95.708280000000002</v>
      </c>
      <c r="H293" s="235">
        <v>100</v>
      </c>
      <c r="I293" s="111"/>
    </row>
    <row r="294" spans="2:9" ht="16.5" hidden="1" customHeight="1" x14ac:dyDescent="0.25">
      <c r="B294" s="76"/>
      <c r="C294" s="226"/>
      <c r="D294" s="32" t="s">
        <v>332</v>
      </c>
      <c r="E294" s="172">
        <v>592675000</v>
      </c>
      <c r="F294" s="221">
        <v>496033300</v>
      </c>
      <c r="G294" s="235">
        <f t="shared" si="18"/>
        <v>83.693980680811578</v>
      </c>
      <c r="H294" s="235">
        <v>85</v>
      </c>
      <c r="I294" s="111"/>
    </row>
    <row r="295" spans="2:9" ht="18.75" hidden="1" customHeight="1" x14ac:dyDescent="0.25">
      <c r="B295" s="76"/>
      <c r="C295" s="226"/>
      <c r="D295" s="119" t="s">
        <v>333</v>
      </c>
      <c r="E295" s="172">
        <v>1000000000</v>
      </c>
      <c r="F295" s="221">
        <v>991448300</v>
      </c>
      <c r="G295" s="235">
        <f t="shared" si="18"/>
        <v>99.144829999999999</v>
      </c>
      <c r="H295" s="235">
        <v>100</v>
      </c>
      <c r="I295" s="111"/>
    </row>
    <row r="296" spans="2:9" ht="16.5" hidden="1" customHeight="1" x14ac:dyDescent="0.25">
      <c r="B296" s="76"/>
      <c r="C296" s="226"/>
      <c r="D296" s="32" t="s">
        <v>334</v>
      </c>
      <c r="E296" s="172">
        <v>368200000</v>
      </c>
      <c r="F296" s="221">
        <v>355811500</v>
      </c>
      <c r="G296" s="235">
        <f t="shared" si="18"/>
        <v>96.63538837588267</v>
      </c>
      <c r="H296" s="235">
        <v>100</v>
      </c>
      <c r="I296" s="111"/>
    </row>
    <row r="297" spans="2:9" s="115" customFormat="1" ht="16.5" hidden="1" customHeight="1" x14ac:dyDescent="0.25">
      <c r="B297" s="157"/>
      <c r="C297" s="222"/>
      <c r="D297" s="48" t="s">
        <v>335</v>
      </c>
      <c r="E297" s="112">
        <v>2612925000</v>
      </c>
      <c r="F297" s="220">
        <f>SUM(F298:F300)</f>
        <v>2608250700</v>
      </c>
      <c r="G297" s="110">
        <f t="shared" si="18"/>
        <v>99.821108527799311</v>
      </c>
      <c r="H297" s="110">
        <f>SUM((H298:H300))/3</f>
        <v>100</v>
      </c>
      <c r="I297" s="121"/>
    </row>
    <row r="298" spans="2:9" ht="16.5" hidden="1" customHeight="1" x14ac:dyDescent="0.25">
      <c r="B298" s="76"/>
      <c r="C298" s="226"/>
      <c r="D298" s="32" t="s">
        <v>336</v>
      </c>
      <c r="E298" s="172">
        <v>1000000000</v>
      </c>
      <c r="F298" s="221">
        <v>999387900</v>
      </c>
      <c r="G298" s="235">
        <f t="shared" si="18"/>
        <v>99.938789999999997</v>
      </c>
      <c r="H298" s="235">
        <v>100</v>
      </c>
      <c r="I298" s="111"/>
    </row>
    <row r="299" spans="2:9" ht="16.5" hidden="1" customHeight="1" x14ac:dyDescent="0.25">
      <c r="B299" s="76"/>
      <c r="C299" s="226"/>
      <c r="D299" s="32" t="s">
        <v>337</v>
      </c>
      <c r="E299" s="172">
        <v>500000000</v>
      </c>
      <c r="F299" s="221">
        <v>498763600</v>
      </c>
      <c r="G299" s="235">
        <f t="shared" si="18"/>
        <v>99.752719999999997</v>
      </c>
      <c r="H299" s="235">
        <v>100</v>
      </c>
      <c r="I299" s="111"/>
    </row>
    <row r="300" spans="2:9" ht="16.5" hidden="1" customHeight="1" x14ac:dyDescent="0.25">
      <c r="B300" s="76"/>
      <c r="C300" s="226"/>
      <c r="D300" s="32" t="s">
        <v>338</v>
      </c>
      <c r="E300" s="172">
        <v>1112925000</v>
      </c>
      <c r="F300" s="221">
        <v>1110099200</v>
      </c>
      <c r="G300" s="235">
        <f t="shared" si="18"/>
        <v>99.746092503987242</v>
      </c>
      <c r="H300" s="235">
        <v>100</v>
      </c>
      <c r="I300" s="111"/>
    </row>
    <row r="301" spans="2:9" s="115" customFormat="1" ht="16.5" hidden="1" customHeight="1" x14ac:dyDescent="0.25">
      <c r="B301" s="157"/>
      <c r="C301" s="222"/>
      <c r="D301" s="48" t="s">
        <v>339</v>
      </c>
      <c r="E301" s="112">
        <v>2700000000</v>
      </c>
      <c r="F301" s="220">
        <f>SUM(F302:F304)</f>
        <v>2688267700</v>
      </c>
      <c r="G301" s="110">
        <f t="shared" si="18"/>
        <v>99.565470370370363</v>
      </c>
      <c r="H301" s="110">
        <f>SUM((H302:H304))/3</f>
        <v>100</v>
      </c>
      <c r="I301" s="121"/>
    </row>
    <row r="302" spans="2:9" ht="16.5" hidden="1" customHeight="1" x14ac:dyDescent="0.25">
      <c r="B302" s="76"/>
      <c r="C302" s="226"/>
      <c r="D302" s="32" t="s">
        <v>340</v>
      </c>
      <c r="E302" s="172">
        <v>1200000000</v>
      </c>
      <c r="F302" s="221">
        <v>1198204000</v>
      </c>
      <c r="G302" s="235">
        <f t="shared" si="18"/>
        <v>99.850333333333325</v>
      </c>
      <c r="H302" s="235">
        <v>100</v>
      </c>
      <c r="I302" s="111"/>
    </row>
    <row r="303" spans="2:9" ht="16.5" hidden="1" customHeight="1" x14ac:dyDescent="0.25">
      <c r="B303" s="76"/>
      <c r="C303" s="226"/>
      <c r="D303" s="32" t="s">
        <v>341</v>
      </c>
      <c r="E303" s="172">
        <v>300000000</v>
      </c>
      <c r="F303" s="221">
        <v>290393000</v>
      </c>
      <c r="G303" s="235">
        <f t="shared" si="18"/>
        <v>96.797666666666672</v>
      </c>
      <c r="H303" s="235">
        <v>100</v>
      </c>
      <c r="I303" s="111"/>
    </row>
    <row r="304" spans="2:9" ht="16.5" hidden="1" customHeight="1" x14ac:dyDescent="0.25">
      <c r="B304" s="76"/>
      <c r="C304" s="226"/>
      <c r="D304" s="32" t="s">
        <v>342</v>
      </c>
      <c r="E304" s="172">
        <v>1200000000</v>
      </c>
      <c r="F304" s="221">
        <v>1199670700</v>
      </c>
      <c r="G304" s="235">
        <f t="shared" si="18"/>
        <v>99.972558333333325</v>
      </c>
      <c r="H304" s="235">
        <v>100</v>
      </c>
      <c r="I304" s="111"/>
    </row>
    <row r="305" spans="2:9" s="115" customFormat="1" ht="16.5" hidden="1" customHeight="1" x14ac:dyDescent="0.25">
      <c r="B305" s="157"/>
      <c r="C305" s="222"/>
      <c r="D305" s="48" t="s">
        <v>343</v>
      </c>
      <c r="E305" s="112">
        <v>919215000</v>
      </c>
      <c r="F305" s="220">
        <f>+F306</f>
        <v>919215000</v>
      </c>
      <c r="G305" s="110">
        <f t="shared" si="18"/>
        <v>100</v>
      </c>
      <c r="H305" s="110">
        <f t="shared" si="16"/>
        <v>100</v>
      </c>
      <c r="I305" s="121"/>
    </row>
    <row r="306" spans="2:9" ht="16.5" hidden="1" customHeight="1" x14ac:dyDescent="0.25">
      <c r="B306" s="76"/>
      <c r="C306" s="226"/>
      <c r="D306" s="32" t="s">
        <v>344</v>
      </c>
      <c r="E306" s="172">
        <v>919215000</v>
      </c>
      <c r="F306" s="221">
        <v>919215000</v>
      </c>
      <c r="G306" s="235">
        <f t="shared" si="18"/>
        <v>100</v>
      </c>
      <c r="H306" s="235">
        <f t="shared" si="16"/>
        <v>100</v>
      </c>
      <c r="I306" s="111"/>
    </row>
    <row r="307" spans="2:9" ht="16.5" hidden="1" customHeight="1" x14ac:dyDescent="0.25">
      <c r="B307" s="76"/>
      <c r="C307" s="226"/>
      <c r="D307" s="48" t="s">
        <v>345</v>
      </c>
      <c r="E307" s="112">
        <v>1306985000</v>
      </c>
      <c r="F307" s="220">
        <f>+F308+F309</f>
        <v>1306985000</v>
      </c>
      <c r="G307" s="110">
        <f t="shared" si="18"/>
        <v>100</v>
      </c>
      <c r="H307" s="110">
        <f t="shared" si="16"/>
        <v>100</v>
      </c>
      <c r="I307" s="111"/>
    </row>
    <row r="308" spans="2:9" ht="16.5" hidden="1" customHeight="1" x14ac:dyDescent="0.25">
      <c r="B308" s="76"/>
      <c r="C308" s="226"/>
      <c r="D308" s="32" t="s">
        <v>346</v>
      </c>
      <c r="E308" s="172">
        <v>740460000</v>
      </c>
      <c r="F308" s="221">
        <v>740460000</v>
      </c>
      <c r="G308" s="235">
        <f t="shared" si="18"/>
        <v>100</v>
      </c>
      <c r="H308" s="235">
        <f t="shared" si="16"/>
        <v>100</v>
      </c>
      <c r="I308" s="111"/>
    </row>
    <row r="309" spans="2:9" ht="16.5" hidden="1" customHeight="1" x14ac:dyDescent="0.25">
      <c r="B309" s="76"/>
      <c r="C309" s="226"/>
      <c r="D309" s="32" t="s">
        <v>347</v>
      </c>
      <c r="E309" s="172">
        <v>566525000</v>
      </c>
      <c r="F309" s="221">
        <v>566525000</v>
      </c>
      <c r="G309" s="235">
        <f t="shared" si="18"/>
        <v>100</v>
      </c>
      <c r="H309" s="235">
        <f t="shared" si="16"/>
        <v>100</v>
      </c>
      <c r="I309" s="111"/>
    </row>
    <row r="310" spans="2:9" ht="16.5" hidden="1" customHeight="1" x14ac:dyDescent="0.25">
      <c r="B310" s="76"/>
      <c r="C310" s="226"/>
      <c r="D310" s="32"/>
      <c r="E310" s="172"/>
      <c r="F310" s="108"/>
      <c r="G310" s="235"/>
      <c r="H310" s="110"/>
      <c r="I310" s="111"/>
    </row>
    <row r="311" spans="2:9" s="115" customFormat="1" ht="16.5" hidden="1" customHeight="1" x14ac:dyDescent="0.25">
      <c r="B311" s="157"/>
      <c r="C311" s="222"/>
      <c r="D311" s="48" t="s">
        <v>348</v>
      </c>
      <c r="E311" s="112">
        <f>+E312+E317+E319+E324</f>
        <v>23729300000</v>
      </c>
      <c r="F311" s="220">
        <f>+F312+F317+F319+F324</f>
        <v>23472724047</v>
      </c>
      <c r="G311" s="110">
        <f t="shared" ref="G311:G325" si="19">+F311/E311*100</f>
        <v>98.918737792518101</v>
      </c>
      <c r="H311" s="110">
        <f>(H312+H317+H319+H324)/4</f>
        <v>100</v>
      </c>
      <c r="I311" s="121"/>
    </row>
    <row r="312" spans="2:9" s="115" customFormat="1" ht="16.5" hidden="1" customHeight="1" x14ac:dyDescent="0.25">
      <c r="B312" s="157"/>
      <c r="C312" s="222"/>
      <c r="D312" s="48" t="s">
        <v>349</v>
      </c>
      <c r="E312" s="215">
        <v>21039700750</v>
      </c>
      <c r="F312" s="220">
        <f>SUM(F313:F316)</f>
        <v>20794908936</v>
      </c>
      <c r="G312" s="110">
        <f t="shared" si="19"/>
        <v>98.836524259975505</v>
      </c>
      <c r="H312" s="110">
        <f>SUM((H313:H316))/4</f>
        <v>100</v>
      </c>
      <c r="I312" s="121"/>
    </row>
    <row r="313" spans="2:9" ht="16.5" hidden="1" customHeight="1" x14ac:dyDescent="0.25">
      <c r="B313" s="76"/>
      <c r="C313" s="226"/>
      <c r="D313" s="32" t="s">
        <v>350</v>
      </c>
      <c r="E313" s="216">
        <v>3518050000</v>
      </c>
      <c r="F313" s="221">
        <v>3517523390</v>
      </c>
      <c r="G313" s="235">
        <f t="shared" si="19"/>
        <v>99.985031196259285</v>
      </c>
      <c r="H313" s="235">
        <v>100</v>
      </c>
      <c r="I313" s="111"/>
    </row>
    <row r="314" spans="2:9" ht="16.5" hidden="1" customHeight="1" x14ac:dyDescent="0.25">
      <c r="B314" s="76"/>
      <c r="C314" s="226"/>
      <c r="D314" s="32" t="s">
        <v>351</v>
      </c>
      <c r="E314" s="216">
        <v>3010500000</v>
      </c>
      <c r="F314" s="221">
        <v>3009494583</v>
      </c>
      <c r="G314" s="235">
        <f t="shared" si="19"/>
        <v>99.966602989536625</v>
      </c>
      <c r="H314" s="235">
        <v>100</v>
      </c>
      <c r="I314" s="111"/>
    </row>
    <row r="315" spans="2:9" ht="16.5" hidden="1" customHeight="1" x14ac:dyDescent="0.25">
      <c r="B315" s="76"/>
      <c r="C315" s="226"/>
      <c r="D315" s="32" t="s">
        <v>352</v>
      </c>
      <c r="E315" s="216">
        <v>303984425</v>
      </c>
      <c r="F315" s="221">
        <v>303948840</v>
      </c>
      <c r="G315" s="235">
        <f t="shared" si="19"/>
        <v>99.988293808144945</v>
      </c>
      <c r="H315" s="235">
        <v>100</v>
      </c>
      <c r="I315" s="111"/>
    </row>
    <row r="316" spans="2:9" ht="16.5" hidden="1" customHeight="1" x14ac:dyDescent="0.25">
      <c r="B316" s="76"/>
      <c r="C316" s="226"/>
      <c r="D316" s="32" t="s">
        <v>353</v>
      </c>
      <c r="E316" s="216">
        <v>14207166325</v>
      </c>
      <c r="F316" s="221">
        <v>13963942123</v>
      </c>
      <c r="G316" s="235">
        <f t="shared" si="19"/>
        <v>98.288017494579449</v>
      </c>
      <c r="H316" s="235">
        <v>100</v>
      </c>
      <c r="I316" s="111"/>
    </row>
    <row r="317" spans="2:9" s="115" customFormat="1" ht="16.5" hidden="1" customHeight="1" x14ac:dyDescent="0.25">
      <c r="B317" s="157"/>
      <c r="C317" s="222"/>
      <c r="D317" s="48" t="s">
        <v>354</v>
      </c>
      <c r="E317" s="112">
        <v>350050000</v>
      </c>
      <c r="F317" s="220">
        <f>+F318</f>
        <v>345859707</v>
      </c>
      <c r="G317" s="110">
        <f t="shared" si="19"/>
        <v>98.802944436509065</v>
      </c>
      <c r="H317" s="110">
        <f>H318</f>
        <v>100</v>
      </c>
      <c r="I317" s="121"/>
    </row>
    <row r="318" spans="2:9" ht="16.5" hidden="1" customHeight="1" x14ac:dyDescent="0.25">
      <c r="B318" s="76"/>
      <c r="C318" s="226"/>
      <c r="D318" s="32" t="s">
        <v>355</v>
      </c>
      <c r="E318" s="172">
        <v>350050000</v>
      </c>
      <c r="F318" s="221">
        <v>345859707</v>
      </c>
      <c r="G318" s="235">
        <f t="shared" si="19"/>
        <v>98.802944436509065</v>
      </c>
      <c r="H318" s="235">
        <v>100</v>
      </c>
      <c r="I318" s="111"/>
    </row>
    <row r="319" spans="2:9" s="115" customFormat="1" ht="16.5" hidden="1" customHeight="1" x14ac:dyDescent="0.25">
      <c r="B319" s="157"/>
      <c r="C319" s="222"/>
      <c r="D319" s="48" t="s">
        <v>356</v>
      </c>
      <c r="E319" s="215">
        <v>2045349250</v>
      </c>
      <c r="F319" s="220">
        <f>SUM(F320:F323)</f>
        <v>2039229067</v>
      </c>
      <c r="G319" s="110">
        <f t="shared" si="19"/>
        <v>99.70077564992873</v>
      </c>
      <c r="H319" s="110">
        <f>SUM((H320:H323))/4</f>
        <v>100</v>
      </c>
      <c r="I319" s="121"/>
    </row>
    <row r="320" spans="2:9" ht="16.5" hidden="1" customHeight="1" x14ac:dyDescent="0.25">
      <c r="B320" s="76"/>
      <c r="C320" s="226"/>
      <c r="D320" s="32" t="s">
        <v>357</v>
      </c>
      <c r="E320" s="216">
        <v>590600000</v>
      </c>
      <c r="F320" s="221">
        <v>590521155</v>
      </c>
      <c r="G320" s="235">
        <f t="shared" si="19"/>
        <v>99.986650016931932</v>
      </c>
      <c r="H320" s="235">
        <v>100</v>
      </c>
      <c r="I320" s="111"/>
    </row>
    <row r="321" spans="2:9" ht="16.5" hidden="1" customHeight="1" x14ac:dyDescent="0.25">
      <c r="B321" s="76"/>
      <c r="C321" s="226"/>
      <c r="D321" s="32" t="s">
        <v>358</v>
      </c>
      <c r="E321" s="216">
        <v>624100000</v>
      </c>
      <c r="F321" s="221">
        <v>619008156</v>
      </c>
      <c r="G321" s="235">
        <f t="shared" si="19"/>
        <v>99.184130107354591</v>
      </c>
      <c r="H321" s="235">
        <v>100</v>
      </c>
      <c r="I321" s="111"/>
    </row>
    <row r="322" spans="2:9" ht="16.5" hidden="1" customHeight="1" x14ac:dyDescent="0.25">
      <c r="B322" s="76"/>
      <c r="C322" s="226"/>
      <c r="D322" s="32" t="s">
        <v>359</v>
      </c>
      <c r="E322" s="216">
        <v>310649250</v>
      </c>
      <c r="F322" s="221">
        <v>310478756</v>
      </c>
      <c r="G322" s="235">
        <f t="shared" si="19"/>
        <v>99.945116880211359</v>
      </c>
      <c r="H322" s="235">
        <v>100</v>
      </c>
      <c r="I322" s="111"/>
    </row>
    <row r="323" spans="2:9" ht="16.5" hidden="1" customHeight="1" x14ac:dyDescent="0.25">
      <c r="B323" s="76"/>
      <c r="C323" s="226"/>
      <c r="D323" s="32" t="s">
        <v>360</v>
      </c>
      <c r="E323" s="216">
        <v>520000000</v>
      </c>
      <c r="F323" s="221">
        <v>519221000</v>
      </c>
      <c r="G323" s="235">
        <f t="shared" si="19"/>
        <v>99.850192307692311</v>
      </c>
      <c r="H323" s="235">
        <v>100</v>
      </c>
      <c r="I323" s="111"/>
    </row>
    <row r="324" spans="2:9" s="115" customFormat="1" ht="16.5" hidden="1" customHeight="1" x14ac:dyDescent="0.25">
      <c r="B324" s="157"/>
      <c r="C324" s="222"/>
      <c r="D324" s="48" t="s">
        <v>361</v>
      </c>
      <c r="E324" s="112">
        <v>294200000</v>
      </c>
      <c r="F324" s="220">
        <f>+F325</f>
        <v>292726337</v>
      </c>
      <c r="G324" s="110">
        <f t="shared" si="19"/>
        <v>99.499094833446634</v>
      </c>
      <c r="H324" s="110">
        <f>H325</f>
        <v>100</v>
      </c>
      <c r="I324" s="121"/>
    </row>
    <row r="325" spans="2:9" ht="16.5" hidden="1" customHeight="1" x14ac:dyDescent="0.25">
      <c r="B325" s="76"/>
      <c r="C325" s="226"/>
      <c r="D325" s="32" t="s">
        <v>362</v>
      </c>
      <c r="E325" s="216">
        <v>294200000</v>
      </c>
      <c r="F325" s="221">
        <v>292726337</v>
      </c>
      <c r="G325" s="235">
        <f t="shared" si="19"/>
        <v>99.499094833446634</v>
      </c>
      <c r="H325" s="235">
        <v>100</v>
      </c>
      <c r="I325" s="111"/>
    </row>
    <row r="326" spans="2:9" ht="16.5" hidden="1" customHeight="1" x14ac:dyDescent="0.25">
      <c r="B326" s="76"/>
      <c r="C326" s="226"/>
      <c r="D326" s="32"/>
      <c r="E326" s="172"/>
      <c r="F326" s="108"/>
      <c r="G326" s="235"/>
      <c r="H326" s="110"/>
      <c r="I326" s="111"/>
    </row>
    <row r="327" spans="2:9" s="115" customFormat="1" ht="16.5" hidden="1" customHeight="1" x14ac:dyDescent="0.25">
      <c r="B327" s="157"/>
      <c r="C327" s="222"/>
      <c r="D327" s="48" t="s">
        <v>363</v>
      </c>
      <c r="E327" s="112">
        <v>3801000000</v>
      </c>
      <c r="F327" s="220">
        <f>+F328+F331+F334</f>
        <v>3722962214</v>
      </c>
      <c r="G327" s="110">
        <f t="shared" ref="G327:G343" si="20">+F327/E327*100</f>
        <v>97.946914338332007</v>
      </c>
      <c r="H327" s="110">
        <f>(H328+H331+H334)/3</f>
        <v>97.963019096321702</v>
      </c>
      <c r="I327" s="121"/>
    </row>
    <row r="328" spans="2:9" s="115" customFormat="1" ht="18.75" hidden="1" customHeight="1" x14ac:dyDescent="0.25">
      <c r="B328" s="157"/>
      <c r="C328" s="222"/>
      <c r="D328" s="217" t="s">
        <v>364</v>
      </c>
      <c r="E328" s="112">
        <v>650900000</v>
      </c>
      <c r="F328" s="220">
        <f>+F329+F330</f>
        <v>650045046</v>
      </c>
      <c r="G328" s="110">
        <f t="shared" si="20"/>
        <v>99.868650483945316</v>
      </c>
      <c r="H328" s="235">
        <f>SUM((H329:H330))/2</f>
        <v>100</v>
      </c>
      <c r="I328" s="121"/>
    </row>
    <row r="329" spans="2:9" ht="16.5" hidden="1" customHeight="1" x14ac:dyDescent="0.25">
      <c r="B329" s="76"/>
      <c r="C329" s="226"/>
      <c r="D329" s="32" t="s">
        <v>365</v>
      </c>
      <c r="E329" s="172">
        <v>281718546</v>
      </c>
      <c r="F329" s="221">
        <v>280987046</v>
      </c>
      <c r="G329" s="235">
        <f t="shared" si="20"/>
        <v>99.74034368330156</v>
      </c>
      <c r="H329" s="235">
        <v>100</v>
      </c>
      <c r="I329" s="111"/>
    </row>
    <row r="330" spans="2:9" ht="16.5" hidden="1" customHeight="1" x14ac:dyDescent="0.25">
      <c r="B330" s="76"/>
      <c r="C330" s="226"/>
      <c r="D330" s="32" t="s">
        <v>366</v>
      </c>
      <c r="E330" s="172">
        <v>369181454</v>
      </c>
      <c r="F330" s="221">
        <v>369058000</v>
      </c>
      <c r="G330" s="235">
        <f t="shared" si="20"/>
        <v>99.966560075360661</v>
      </c>
      <c r="H330" s="235">
        <v>100</v>
      </c>
      <c r="I330" s="111"/>
    </row>
    <row r="331" spans="2:9" s="115" customFormat="1" ht="20.25" hidden="1" customHeight="1" x14ac:dyDescent="0.25">
      <c r="B331" s="157"/>
      <c r="C331" s="222"/>
      <c r="D331" s="217" t="s">
        <v>367</v>
      </c>
      <c r="E331" s="112">
        <v>653600022</v>
      </c>
      <c r="F331" s="220">
        <f>+F332+F333</f>
        <v>600239201</v>
      </c>
      <c r="G331" s="110">
        <f t="shared" si="20"/>
        <v>91.835859974925143</v>
      </c>
      <c r="H331" s="110">
        <f>SUM((H332:H333))/2</f>
        <v>95</v>
      </c>
      <c r="I331" s="121"/>
    </row>
    <row r="332" spans="2:9" ht="16.5" hidden="1" customHeight="1" x14ac:dyDescent="0.25">
      <c r="B332" s="76"/>
      <c r="C332" s="226"/>
      <c r="D332" s="32" t="s">
        <v>368</v>
      </c>
      <c r="E332" s="172">
        <v>300100000</v>
      </c>
      <c r="F332" s="221">
        <v>298277100</v>
      </c>
      <c r="G332" s="235">
        <f t="shared" si="20"/>
        <v>99.392569143618786</v>
      </c>
      <c r="H332" s="235">
        <v>100</v>
      </c>
      <c r="I332" s="111"/>
    </row>
    <row r="333" spans="2:9" ht="16.5" hidden="1" customHeight="1" x14ac:dyDescent="0.25">
      <c r="B333" s="76"/>
      <c r="C333" s="226"/>
      <c r="D333" s="32" t="s">
        <v>369</v>
      </c>
      <c r="E333" s="172">
        <v>353500022</v>
      </c>
      <c r="F333" s="221">
        <v>301962101</v>
      </c>
      <c r="G333" s="235">
        <f t="shared" si="20"/>
        <v>85.42067389178267</v>
      </c>
      <c r="H333" s="235">
        <v>90</v>
      </c>
      <c r="I333" s="111"/>
    </row>
    <row r="334" spans="2:9" s="115" customFormat="1" ht="16.5" hidden="1" customHeight="1" x14ac:dyDescent="0.25">
      <c r="B334" s="157"/>
      <c r="C334" s="222"/>
      <c r="D334" s="48" t="s">
        <v>370</v>
      </c>
      <c r="E334" s="112">
        <v>2496499978</v>
      </c>
      <c r="F334" s="220">
        <f>SUM(F335:F343)</f>
        <v>2472677967</v>
      </c>
      <c r="G334" s="110">
        <f t="shared" si="20"/>
        <v>99.045783648711094</v>
      </c>
      <c r="H334" s="110">
        <f>SUM((H335:H343))/9</f>
        <v>98.889057288965091</v>
      </c>
      <c r="I334" s="121"/>
    </row>
    <row r="335" spans="2:9" ht="16.5" hidden="1" customHeight="1" x14ac:dyDescent="0.25">
      <c r="B335" s="76"/>
      <c r="C335" s="226"/>
      <c r="D335" s="32" t="s">
        <v>371</v>
      </c>
      <c r="E335" s="172">
        <v>383200000</v>
      </c>
      <c r="F335" s="221">
        <v>382544000</v>
      </c>
      <c r="G335" s="235">
        <f t="shared" si="20"/>
        <v>99.82881002087683</v>
      </c>
      <c r="H335" s="235">
        <v>100</v>
      </c>
      <c r="I335" s="111"/>
    </row>
    <row r="336" spans="2:9" ht="16.5" hidden="1" customHeight="1" x14ac:dyDescent="0.25">
      <c r="B336" s="76"/>
      <c r="C336" s="226"/>
      <c r="D336" s="32" t="s">
        <v>372</v>
      </c>
      <c r="E336" s="172">
        <v>283300100</v>
      </c>
      <c r="F336" s="221">
        <v>283166100</v>
      </c>
      <c r="G336" s="235">
        <f t="shared" si="20"/>
        <v>99.952700334380395</v>
      </c>
      <c r="H336" s="235">
        <v>100</v>
      </c>
      <c r="I336" s="111"/>
    </row>
    <row r="337" spans="2:9" ht="16.5" hidden="1" customHeight="1" x14ac:dyDescent="0.25">
      <c r="B337" s="76"/>
      <c r="C337" s="226"/>
      <c r="D337" s="32" t="s">
        <v>373</v>
      </c>
      <c r="E337" s="172">
        <v>189726755</v>
      </c>
      <c r="F337" s="221">
        <v>170756955</v>
      </c>
      <c r="G337" s="235">
        <f t="shared" si="20"/>
        <v>90.001515600685849</v>
      </c>
      <c r="H337" s="235">
        <f t="shared" ref="H337:H399" si="21">+G337</f>
        <v>90.001515600685849</v>
      </c>
      <c r="I337" s="111"/>
    </row>
    <row r="338" spans="2:9" ht="16.5" hidden="1" customHeight="1" x14ac:dyDescent="0.25">
      <c r="B338" s="76"/>
      <c r="C338" s="226"/>
      <c r="D338" s="32" t="s">
        <v>374</v>
      </c>
      <c r="E338" s="172">
        <v>406773223</v>
      </c>
      <c r="F338" s="221">
        <v>406592723</v>
      </c>
      <c r="G338" s="235">
        <f t="shared" si="20"/>
        <v>99.955626381041313</v>
      </c>
      <c r="H338" s="235">
        <v>100</v>
      </c>
      <c r="I338" s="111"/>
    </row>
    <row r="339" spans="2:9" ht="16.5" hidden="1" customHeight="1" x14ac:dyDescent="0.25">
      <c r="B339" s="76"/>
      <c r="C339" s="226"/>
      <c r="D339" s="32" t="s">
        <v>375</v>
      </c>
      <c r="E339" s="172">
        <v>283499900</v>
      </c>
      <c r="F339" s="221">
        <v>283452200</v>
      </c>
      <c r="G339" s="235">
        <f t="shared" si="20"/>
        <v>99.983174597239724</v>
      </c>
      <c r="H339" s="235">
        <v>100</v>
      </c>
      <c r="I339" s="111"/>
    </row>
    <row r="340" spans="2:9" ht="18" hidden="1" customHeight="1" x14ac:dyDescent="0.25">
      <c r="B340" s="76"/>
      <c r="C340" s="226"/>
      <c r="D340" s="119" t="s">
        <v>376</v>
      </c>
      <c r="E340" s="172">
        <v>339846120</v>
      </c>
      <c r="F340" s="221">
        <v>339778420</v>
      </c>
      <c r="G340" s="235">
        <f t="shared" si="20"/>
        <v>99.980079219383171</v>
      </c>
      <c r="H340" s="235">
        <v>100</v>
      </c>
      <c r="I340" s="111"/>
    </row>
    <row r="341" spans="2:9" ht="16.5" hidden="1" customHeight="1" x14ac:dyDescent="0.25">
      <c r="B341" s="76"/>
      <c r="C341" s="226"/>
      <c r="D341" s="32" t="s">
        <v>377</v>
      </c>
      <c r="E341" s="172">
        <v>172055000</v>
      </c>
      <c r="F341" s="221">
        <v>171979900</v>
      </c>
      <c r="G341" s="235">
        <f t="shared" si="20"/>
        <v>99.956351166778063</v>
      </c>
      <c r="H341" s="235">
        <v>100</v>
      </c>
      <c r="I341" s="111"/>
    </row>
    <row r="342" spans="2:9" ht="18.75" hidden="1" customHeight="1" x14ac:dyDescent="0.25">
      <c r="B342" s="76"/>
      <c r="C342" s="226"/>
      <c r="D342" s="119" t="s">
        <v>378</v>
      </c>
      <c r="E342" s="172">
        <v>161310711</v>
      </c>
      <c r="F342" s="221">
        <v>158144600</v>
      </c>
      <c r="G342" s="235">
        <f t="shared" si="20"/>
        <v>98.037259286520666</v>
      </c>
      <c r="H342" s="235">
        <v>100</v>
      </c>
      <c r="I342" s="111"/>
    </row>
    <row r="343" spans="2:9" ht="18.75" hidden="1" customHeight="1" x14ac:dyDescent="0.25">
      <c r="B343" s="76"/>
      <c r="C343" s="226"/>
      <c r="D343" s="119" t="s">
        <v>379</v>
      </c>
      <c r="E343" s="172">
        <v>276788169</v>
      </c>
      <c r="F343" s="221">
        <v>276263069</v>
      </c>
      <c r="G343" s="235">
        <f t="shared" si="20"/>
        <v>99.810288134100119</v>
      </c>
      <c r="H343" s="235">
        <v>100</v>
      </c>
      <c r="I343" s="111"/>
    </row>
    <row r="344" spans="2:9" ht="16.5" hidden="1" customHeight="1" x14ac:dyDescent="0.25">
      <c r="B344" s="76"/>
      <c r="C344" s="226"/>
      <c r="D344" s="32"/>
      <c r="E344" s="172"/>
      <c r="F344" s="108"/>
      <c r="G344" s="235"/>
      <c r="H344" s="110"/>
      <c r="I344" s="111"/>
    </row>
    <row r="345" spans="2:9" s="115" customFormat="1" ht="16.5" hidden="1" customHeight="1" x14ac:dyDescent="0.25">
      <c r="B345" s="157"/>
      <c r="C345" s="222"/>
      <c r="D345" s="48" t="s">
        <v>380</v>
      </c>
      <c r="E345" s="112">
        <v>3000000000</v>
      </c>
      <c r="F345" s="220">
        <f>+F346+F349+F353</f>
        <v>2924877665</v>
      </c>
      <c r="G345" s="110">
        <f t="shared" ref="G345:G356" si="22">+F345/E345*100</f>
        <v>97.495922166666674</v>
      </c>
      <c r="H345" s="110">
        <f>(H346+H349+H353)/3</f>
        <v>98.6111111111111</v>
      </c>
      <c r="I345" s="121"/>
    </row>
    <row r="346" spans="2:9" s="115" customFormat="1" ht="16.5" hidden="1" customHeight="1" x14ac:dyDescent="0.25">
      <c r="B346" s="157"/>
      <c r="C346" s="222"/>
      <c r="D346" s="48" t="s">
        <v>381</v>
      </c>
      <c r="E346" s="112">
        <v>800000000</v>
      </c>
      <c r="F346" s="220">
        <f>+F347+F348</f>
        <v>779341100</v>
      </c>
      <c r="G346" s="110">
        <f t="shared" si="22"/>
        <v>97.417637499999998</v>
      </c>
      <c r="H346" s="110">
        <f>SUM((H347:H348))/2</f>
        <v>97.5</v>
      </c>
      <c r="I346" s="121"/>
    </row>
    <row r="347" spans="2:9" ht="16.5" hidden="1" customHeight="1" x14ac:dyDescent="0.25">
      <c r="B347" s="76"/>
      <c r="C347" s="226"/>
      <c r="D347" s="32" t="s">
        <v>382</v>
      </c>
      <c r="E347" s="172">
        <v>192750000</v>
      </c>
      <c r="F347" s="221">
        <v>177684300</v>
      </c>
      <c r="G347" s="235">
        <f t="shared" si="22"/>
        <v>92.183813229571982</v>
      </c>
      <c r="H347" s="110">
        <v>95</v>
      </c>
      <c r="I347" s="111"/>
    </row>
    <row r="348" spans="2:9" ht="16.5" hidden="1" customHeight="1" x14ac:dyDescent="0.25">
      <c r="B348" s="76"/>
      <c r="C348" s="226"/>
      <c r="D348" s="32" t="s">
        <v>383</v>
      </c>
      <c r="E348" s="172">
        <v>607250000</v>
      </c>
      <c r="F348" s="221">
        <v>601656800</v>
      </c>
      <c r="G348" s="235">
        <f t="shared" si="22"/>
        <v>99.078929600658711</v>
      </c>
      <c r="H348" s="110">
        <v>100</v>
      </c>
      <c r="I348" s="111"/>
    </row>
    <row r="349" spans="2:9" s="115" customFormat="1" ht="16.5" hidden="1" customHeight="1" x14ac:dyDescent="0.25">
      <c r="B349" s="157"/>
      <c r="C349" s="222"/>
      <c r="D349" s="48" t="s">
        <v>384</v>
      </c>
      <c r="E349" s="112">
        <v>1500000000</v>
      </c>
      <c r="F349" s="220">
        <f>+F350+F351+F352</f>
        <v>1472373900</v>
      </c>
      <c r="G349" s="110">
        <f t="shared" si="22"/>
        <v>98.158259999999999</v>
      </c>
      <c r="H349" s="110">
        <f>SUM((H350:H352))/3</f>
        <v>100</v>
      </c>
      <c r="I349" s="121"/>
    </row>
    <row r="350" spans="2:9" ht="34.5" hidden="1" customHeight="1" x14ac:dyDescent="0.25">
      <c r="B350" s="76"/>
      <c r="C350" s="226"/>
      <c r="D350" s="119" t="s">
        <v>385</v>
      </c>
      <c r="E350" s="172">
        <v>800000000</v>
      </c>
      <c r="F350" s="221">
        <v>796569900</v>
      </c>
      <c r="G350" s="235">
        <f t="shared" si="22"/>
        <v>99.571237499999995</v>
      </c>
      <c r="H350" s="235">
        <v>100</v>
      </c>
      <c r="I350" s="111"/>
    </row>
    <row r="351" spans="2:9" ht="18.75" hidden="1" customHeight="1" x14ac:dyDescent="0.25">
      <c r="B351" s="76"/>
      <c r="C351" s="226"/>
      <c r="D351" s="119" t="s">
        <v>386</v>
      </c>
      <c r="E351" s="172">
        <v>500000000</v>
      </c>
      <c r="F351" s="221">
        <v>483929400</v>
      </c>
      <c r="G351" s="235">
        <f t="shared" si="22"/>
        <v>96.785880000000006</v>
      </c>
      <c r="H351" s="235">
        <v>100</v>
      </c>
      <c r="I351" s="111"/>
    </row>
    <row r="352" spans="2:9" ht="16.5" hidden="1" customHeight="1" x14ac:dyDescent="0.25">
      <c r="B352" s="76"/>
      <c r="C352" s="226"/>
      <c r="D352" s="32" t="s">
        <v>387</v>
      </c>
      <c r="E352" s="172">
        <v>200000000</v>
      </c>
      <c r="F352" s="221">
        <v>191874600</v>
      </c>
      <c r="G352" s="235">
        <f t="shared" si="22"/>
        <v>95.937300000000008</v>
      </c>
      <c r="H352" s="235">
        <v>100</v>
      </c>
      <c r="I352" s="111"/>
    </row>
    <row r="353" spans="2:9" s="115" customFormat="1" ht="16.5" hidden="1" customHeight="1" x14ac:dyDescent="0.25">
      <c r="B353" s="157"/>
      <c r="C353" s="222"/>
      <c r="D353" s="48" t="s">
        <v>388</v>
      </c>
      <c r="E353" s="112">
        <v>700000000</v>
      </c>
      <c r="F353" s="220">
        <f>+F354+F355+F356</f>
        <v>673162665</v>
      </c>
      <c r="G353" s="110">
        <f t="shared" si="22"/>
        <v>96.166094999999999</v>
      </c>
      <c r="H353" s="110">
        <f>SUM((H354:H356))/3</f>
        <v>98.333333333333329</v>
      </c>
      <c r="I353" s="121"/>
    </row>
    <row r="354" spans="2:9" ht="16.5" hidden="1" customHeight="1" x14ac:dyDescent="0.25">
      <c r="B354" s="76"/>
      <c r="C354" s="226"/>
      <c r="D354" s="32" t="s">
        <v>389</v>
      </c>
      <c r="E354" s="172">
        <v>200000000</v>
      </c>
      <c r="F354" s="221">
        <v>192275000</v>
      </c>
      <c r="G354" s="235">
        <f t="shared" si="22"/>
        <v>96.137500000000003</v>
      </c>
      <c r="H354" s="235">
        <v>100</v>
      </c>
      <c r="I354" s="111"/>
    </row>
    <row r="355" spans="2:9" ht="18.75" hidden="1" customHeight="1" x14ac:dyDescent="0.25">
      <c r="B355" s="76"/>
      <c r="C355" s="226"/>
      <c r="D355" s="119" t="s">
        <v>390</v>
      </c>
      <c r="E355" s="172">
        <v>200000000</v>
      </c>
      <c r="F355" s="221">
        <v>183950000</v>
      </c>
      <c r="G355" s="235">
        <f t="shared" si="22"/>
        <v>91.974999999999994</v>
      </c>
      <c r="H355" s="235">
        <v>95</v>
      </c>
      <c r="I355" s="111"/>
    </row>
    <row r="356" spans="2:9" ht="16.5" hidden="1" customHeight="1" x14ac:dyDescent="0.25">
      <c r="B356" s="76"/>
      <c r="C356" s="226"/>
      <c r="D356" s="32" t="s">
        <v>391</v>
      </c>
      <c r="E356" s="172">
        <v>300000000</v>
      </c>
      <c r="F356" s="221">
        <v>296937665</v>
      </c>
      <c r="G356" s="235">
        <f t="shared" si="22"/>
        <v>98.97922166666666</v>
      </c>
      <c r="H356" s="235">
        <v>100</v>
      </c>
      <c r="I356" s="111"/>
    </row>
    <row r="357" spans="2:9" ht="16.5" hidden="1" customHeight="1" x14ac:dyDescent="0.25">
      <c r="B357" s="76"/>
      <c r="C357" s="226"/>
      <c r="D357" s="32"/>
      <c r="E357" s="172"/>
      <c r="F357" s="108"/>
      <c r="G357" s="235"/>
      <c r="H357" s="110"/>
      <c r="I357" s="111"/>
    </row>
    <row r="358" spans="2:9" s="115" customFormat="1" ht="16.5" hidden="1" customHeight="1" x14ac:dyDescent="0.25">
      <c r="B358" s="157"/>
      <c r="C358" s="222"/>
      <c r="D358" s="48" t="s">
        <v>392</v>
      </c>
      <c r="E358" s="112">
        <f>+E359</f>
        <v>10000000000</v>
      </c>
      <c r="F358" s="220">
        <f>+F359</f>
        <v>9674309700</v>
      </c>
      <c r="G358" s="110">
        <f>+F358/E358*100</f>
        <v>96.743097000000006</v>
      </c>
      <c r="H358" s="110">
        <v>100</v>
      </c>
      <c r="I358" s="121"/>
    </row>
    <row r="359" spans="2:9" s="115" customFormat="1" ht="16.5" hidden="1" customHeight="1" x14ac:dyDescent="0.25">
      <c r="B359" s="157"/>
      <c r="C359" s="222"/>
      <c r="D359" s="48" t="s">
        <v>393</v>
      </c>
      <c r="E359" s="112">
        <f>+E360</f>
        <v>10000000000</v>
      </c>
      <c r="F359" s="220">
        <f>+F360</f>
        <v>9674309700</v>
      </c>
      <c r="G359" s="110">
        <f>+F359/E359*100</f>
        <v>96.743097000000006</v>
      </c>
      <c r="H359" s="110">
        <v>100</v>
      </c>
      <c r="I359" s="121"/>
    </row>
    <row r="360" spans="2:9" ht="16.5" hidden="1" customHeight="1" x14ac:dyDescent="0.25">
      <c r="B360" s="76"/>
      <c r="C360" s="226"/>
      <c r="D360" s="32" t="s">
        <v>394</v>
      </c>
      <c r="E360" s="172">
        <v>10000000000</v>
      </c>
      <c r="F360" s="221">
        <v>9674309700</v>
      </c>
      <c r="G360" s="235">
        <f>+F360/E360*100</f>
        <v>96.743097000000006</v>
      </c>
      <c r="H360" s="235">
        <v>100</v>
      </c>
      <c r="I360" s="111"/>
    </row>
    <row r="361" spans="2:9" ht="16.5" hidden="1" customHeight="1" x14ac:dyDescent="0.25">
      <c r="B361" s="76"/>
      <c r="C361" s="226"/>
      <c r="D361" s="32"/>
      <c r="E361" s="172"/>
      <c r="F361" s="108"/>
      <c r="G361" s="235"/>
      <c r="H361" s="235"/>
      <c r="I361" s="111"/>
    </row>
    <row r="362" spans="2:9" s="115" customFormat="1" ht="16.5" hidden="1" customHeight="1" x14ac:dyDescent="0.25">
      <c r="B362" s="157"/>
      <c r="C362" s="222"/>
      <c r="D362" s="48" t="s">
        <v>395</v>
      </c>
      <c r="E362" s="112">
        <v>5000000000</v>
      </c>
      <c r="F362" s="220">
        <f>+F363+F367+F372+F378+F381</f>
        <v>4600266225</v>
      </c>
      <c r="G362" s="110">
        <f t="shared" ref="G362:G382" si="23">+F362/E362*100</f>
        <v>92.0053245</v>
      </c>
      <c r="H362" s="110">
        <f>(H363+H367+H372+H378+H381)/5</f>
        <v>88.289728977720003</v>
      </c>
      <c r="I362" s="121"/>
    </row>
    <row r="363" spans="2:9" s="115" customFormat="1" ht="16.5" hidden="1" customHeight="1" x14ac:dyDescent="0.25">
      <c r="B363" s="157"/>
      <c r="C363" s="222"/>
      <c r="D363" s="48" t="s">
        <v>396</v>
      </c>
      <c r="E363" s="112">
        <v>920000000</v>
      </c>
      <c r="F363" s="220">
        <f>+F364+F365+F366</f>
        <v>770000000</v>
      </c>
      <c r="G363" s="110">
        <f t="shared" si="23"/>
        <v>83.695652173913047</v>
      </c>
      <c r="H363" s="110">
        <f>SUM((H364:H366))/3</f>
        <v>66.666666666666671</v>
      </c>
      <c r="I363" s="121"/>
    </row>
    <row r="364" spans="2:9" ht="16.5" hidden="1" customHeight="1" x14ac:dyDescent="0.25">
      <c r="B364" s="76"/>
      <c r="C364" s="226"/>
      <c r="D364" s="32" t="s">
        <v>397</v>
      </c>
      <c r="E364" s="172">
        <v>300700000</v>
      </c>
      <c r="F364" s="221">
        <v>300700000</v>
      </c>
      <c r="G364" s="235">
        <f t="shared" si="23"/>
        <v>100</v>
      </c>
      <c r="H364" s="235">
        <f t="shared" si="21"/>
        <v>100</v>
      </c>
      <c r="I364" s="111"/>
    </row>
    <row r="365" spans="2:9" ht="16.5" hidden="1" customHeight="1" x14ac:dyDescent="0.25">
      <c r="B365" s="76"/>
      <c r="C365" s="226"/>
      <c r="D365" s="32" t="s">
        <v>398</v>
      </c>
      <c r="E365" s="172">
        <v>469300000</v>
      </c>
      <c r="F365" s="221">
        <v>469300000</v>
      </c>
      <c r="G365" s="235">
        <f t="shared" si="23"/>
        <v>100</v>
      </c>
      <c r="H365" s="235">
        <f t="shared" si="21"/>
        <v>100</v>
      </c>
      <c r="I365" s="111"/>
    </row>
    <row r="366" spans="2:9" ht="16.5" hidden="1" customHeight="1" x14ac:dyDescent="0.25">
      <c r="B366" s="76"/>
      <c r="C366" s="226"/>
      <c r="D366" s="32" t="s">
        <v>399</v>
      </c>
      <c r="E366" s="172">
        <v>150000000</v>
      </c>
      <c r="F366" s="221">
        <v>0</v>
      </c>
      <c r="G366" s="235">
        <f t="shared" si="23"/>
        <v>0</v>
      </c>
      <c r="H366" s="235">
        <f t="shared" si="21"/>
        <v>0</v>
      </c>
      <c r="I366" s="111"/>
    </row>
    <row r="367" spans="2:9" s="115" customFormat="1" ht="16.5" hidden="1" customHeight="1" x14ac:dyDescent="0.25">
      <c r="B367" s="157"/>
      <c r="C367" s="222"/>
      <c r="D367" s="48" t="s">
        <v>400</v>
      </c>
      <c r="E367" s="112">
        <v>818536326</v>
      </c>
      <c r="F367" s="220">
        <f>+F368+F369+F370+F371</f>
        <v>578350000</v>
      </c>
      <c r="G367" s="110">
        <f t="shared" si="23"/>
        <v>70.656607609128883</v>
      </c>
      <c r="H367" s="110">
        <f>SUM((H368:H371))/4</f>
        <v>75</v>
      </c>
      <c r="I367" s="121"/>
    </row>
    <row r="368" spans="2:9" ht="16.5" hidden="1" customHeight="1" x14ac:dyDescent="0.25">
      <c r="B368" s="76"/>
      <c r="C368" s="226"/>
      <c r="D368" s="32" t="s">
        <v>401</v>
      </c>
      <c r="E368" s="172">
        <v>178000000</v>
      </c>
      <c r="F368" s="221">
        <v>178000000</v>
      </c>
      <c r="G368" s="235">
        <f t="shared" si="23"/>
        <v>100</v>
      </c>
      <c r="H368" s="235">
        <f t="shared" si="21"/>
        <v>100</v>
      </c>
      <c r="I368" s="111"/>
    </row>
    <row r="369" spans="2:9" ht="31.5" hidden="1" customHeight="1" x14ac:dyDescent="0.25">
      <c r="B369" s="76"/>
      <c r="C369" s="226"/>
      <c r="D369" s="119" t="s">
        <v>402</v>
      </c>
      <c r="E369" s="172">
        <v>240000000</v>
      </c>
      <c r="F369" s="221">
        <v>0</v>
      </c>
      <c r="G369" s="235">
        <f t="shared" si="23"/>
        <v>0</v>
      </c>
      <c r="H369" s="235">
        <f t="shared" si="21"/>
        <v>0</v>
      </c>
      <c r="I369" s="111"/>
    </row>
    <row r="370" spans="2:9" ht="32.25" hidden="1" customHeight="1" x14ac:dyDescent="0.25">
      <c r="B370" s="76"/>
      <c r="C370" s="226"/>
      <c r="D370" s="119" t="s">
        <v>403</v>
      </c>
      <c r="E370" s="172">
        <v>300031076</v>
      </c>
      <c r="F370" s="221">
        <v>299850000</v>
      </c>
      <c r="G370" s="235">
        <f t="shared" si="23"/>
        <v>99.939647585038827</v>
      </c>
      <c r="H370" s="235">
        <v>100</v>
      </c>
      <c r="I370" s="111"/>
    </row>
    <row r="371" spans="2:9" ht="16.5" hidden="1" customHeight="1" x14ac:dyDescent="0.25">
      <c r="B371" s="76"/>
      <c r="C371" s="226"/>
      <c r="D371" s="32" t="s">
        <v>404</v>
      </c>
      <c r="E371" s="172">
        <v>100505250</v>
      </c>
      <c r="F371" s="221">
        <v>100500000</v>
      </c>
      <c r="G371" s="235">
        <f t="shared" si="23"/>
        <v>99.994776392278013</v>
      </c>
      <c r="H371" s="235">
        <v>100</v>
      </c>
      <c r="I371" s="111"/>
    </row>
    <row r="372" spans="2:9" s="115" customFormat="1" ht="16.5" hidden="1" customHeight="1" x14ac:dyDescent="0.25">
      <c r="B372" s="157"/>
      <c r="C372" s="222"/>
      <c r="D372" s="48" t="s">
        <v>405</v>
      </c>
      <c r="E372" s="112">
        <v>1984013674</v>
      </c>
      <c r="F372" s="220">
        <f>+F373+F374+F375+F376+F377</f>
        <v>1974865625</v>
      </c>
      <c r="G372" s="110">
        <f t="shared" si="23"/>
        <v>99.538911998446238</v>
      </c>
      <c r="H372" s="110">
        <f>SUM((H373:H376))/4</f>
        <v>99.781978221933329</v>
      </c>
      <c r="I372" s="121"/>
    </row>
    <row r="373" spans="2:9" ht="16.5" hidden="1" customHeight="1" x14ac:dyDescent="0.25">
      <c r="B373" s="76"/>
      <c r="C373" s="226"/>
      <c r="D373" s="32" t="s">
        <v>406</v>
      </c>
      <c r="E373" s="172">
        <v>499955674</v>
      </c>
      <c r="F373" s="221">
        <v>495595625</v>
      </c>
      <c r="G373" s="235">
        <f t="shared" si="23"/>
        <v>99.127912887733331</v>
      </c>
      <c r="H373" s="235">
        <f t="shared" si="21"/>
        <v>99.127912887733331</v>
      </c>
      <c r="I373" s="111"/>
    </row>
    <row r="374" spans="2:9" ht="18.75" hidden="1" customHeight="1" x14ac:dyDescent="0.25">
      <c r="B374" s="76"/>
      <c r="C374" s="226"/>
      <c r="D374" s="119" t="s">
        <v>407</v>
      </c>
      <c r="E374" s="172">
        <v>520000000</v>
      </c>
      <c r="F374" s="221">
        <v>520000000</v>
      </c>
      <c r="G374" s="235">
        <f t="shared" si="23"/>
        <v>100</v>
      </c>
      <c r="H374" s="235">
        <f t="shared" si="21"/>
        <v>100</v>
      </c>
      <c r="I374" s="111"/>
    </row>
    <row r="375" spans="2:9" ht="18.75" hidden="1" customHeight="1" x14ac:dyDescent="0.25">
      <c r="B375" s="76"/>
      <c r="C375" s="226"/>
      <c r="D375" s="119" t="s">
        <v>408</v>
      </c>
      <c r="E375" s="172">
        <v>164050000</v>
      </c>
      <c r="F375" s="221">
        <v>160050000</v>
      </c>
      <c r="G375" s="235">
        <f t="shared" si="23"/>
        <v>97.561718988113384</v>
      </c>
      <c r="H375" s="235">
        <v>100</v>
      </c>
      <c r="I375" s="111"/>
    </row>
    <row r="376" spans="2:9" ht="16.5" hidden="1" customHeight="1" x14ac:dyDescent="0.25">
      <c r="B376" s="76"/>
      <c r="C376" s="226"/>
      <c r="D376" s="32" t="s">
        <v>409</v>
      </c>
      <c r="E376" s="172">
        <v>400000000</v>
      </c>
      <c r="F376" s="221">
        <v>400000000</v>
      </c>
      <c r="G376" s="235">
        <f t="shared" si="23"/>
        <v>100</v>
      </c>
      <c r="H376" s="235">
        <f t="shared" si="21"/>
        <v>100</v>
      </c>
      <c r="I376" s="111"/>
    </row>
    <row r="377" spans="2:9" ht="16.5" hidden="1" customHeight="1" x14ac:dyDescent="0.25">
      <c r="B377" s="76"/>
      <c r="C377" s="226"/>
      <c r="D377" s="32" t="s">
        <v>410</v>
      </c>
      <c r="E377" s="172">
        <v>400008000</v>
      </c>
      <c r="F377" s="221">
        <v>399220000</v>
      </c>
      <c r="G377" s="235">
        <f t="shared" si="23"/>
        <v>99.803003939921197</v>
      </c>
      <c r="H377" s="235">
        <f t="shared" si="21"/>
        <v>99.803003939921197</v>
      </c>
      <c r="I377" s="111"/>
    </row>
    <row r="378" spans="2:9" s="115" customFormat="1" ht="16.5" hidden="1" customHeight="1" x14ac:dyDescent="0.25">
      <c r="B378" s="157"/>
      <c r="C378" s="222"/>
      <c r="D378" s="48" t="s">
        <v>411</v>
      </c>
      <c r="E378" s="112">
        <v>537450000</v>
      </c>
      <c r="F378" s="220">
        <f>+F379+F380</f>
        <v>537050600</v>
      </c>
      <c r="G378" s="110">
        <f t="shared" si="23"/>
        <v>99.925686110335846</v>
      </c>
      <c r="H378" s="110">
        <f>SUM((H379:H380))/2</f>
        <v>100</v>
      </c>
      <c r="I378" s="121"/>
    </row>
    <row r="379" spans="2:9" ht="16.5" hidden="1" customHeight="1" x14ac:dyDescent="0.25">
      <c r="B379" s="76"/>
      <c r="C379" s="226"/>
      <c r="D379" s="32" t="s">
        <v>412</v>
      </c>
      <c r="E379" s="172">
        <v>410100000</v>
      </c>
      <c r="F379" s="221">
        <v>409825000</v>
      </c>
      <c r="G379" s="235">
        <f t="shared" si="23"/>
        <v>99.932943184589135</v>
      </c>
      <c r="H379" s="235">
        <v>100</v>
      </c>
      <c r="I379" s="111"/>
    </row>
    <row r="380" spans="2:9" ht="16.5" hidden="1" customHeight="1" x14ac:dyDescent="0.25">
      <c r="B380" s="76"/>
      <c r="C380" s="226"/>
      <c r="D380" s="32" t="s">
        <v>413</v>
      </c>
      <c r="E380" s="172">
        <v>127350000</v>
      </c>
      <c r="F380" s="221">
        <v>127225600</v>
      </c>
      <c r="G380" s="235">
        <f t="shared" si="23"/>
        <v>99.902316450726346</v>
      </c>
      <c r="H380" s="235">
        <v>100</v>
      </c>
      <c r="I380" s="111"/>
    </row>
    <row r="381" spans="2:9" s="115" customFormat="1" ht="16.5" hidden="1" customHeight="1" x14ac:dyDescent="0.25">
      <c r="B381" s="157"/>
      <c r="C381" s="222"/>
      <c r="D381" s="48" t="s">
        <v>405</v>
      </c>
      <c r="E381" s="112">
        <v>740000000</v>
      </c>
      <c r="F381" s="220">
        <f>+F382</f>
        <v>740000000</v>
      </c>
      <c r="G381" s="110">
        <f t="shared" si="23"/>
        <v>100</v>
      </c>
      <c r="H381" s="110">
        <f t="shared" si="21"/>
        <v>100</v>
      </c>
      <c r="I381" s="121"/>
    </row>
    <row r="382" spans="2:9" ht="16.5" hidden="1" customHeight="1" x14ac:dyDescent="0.25">
      <c r="B382" s="76"/>
      <c r="C382" s="226"/>
      <c r="D382" s="32" t="s">
        <v>414</v>
      </c>
      <c r="E382" s="172">
        <v>740000000</v>
      </c>
      <c r="F382" s="221">
        <v>740000000</v>
      </c>
      <c r="G382" s="235">
        <f t="shared" si="23"/>
        <v>100</v>
      </c>
      <c r="H382" s="235">
        <f t="shared" si="21"/>
        <v>100</v>
      </c>
      <c r="I382" s="111"/>
    </row>
    <row r="383" spans="2:9" ht="16.5" hidden="1" customHeight="1" x14ac:dyDescent="0.25">
      <c r="B383" s="76"/>
      <c r="C383" s="226"/>
      <c r="D383" s="32"/>
      <c r="E383" s="172"/>
      <c r="F383" s="108"/>
      <c r="G383" s="235"/>
      <c r="H383" s="110"/>
      <c r="I383" s="111"/>
    </row>
    <row r="384" spans="2:9" s="115" customFormat="1" ht="16.5" hidden="1" customHeight="1" x14ac:dyDescent="0.25">
      <c r="B384" s="157"/>
      <c r="C384" s="222"/>
      <c r="D384" s="48" t="s">
        <v>415</v>
      </c>
      <c r="E384" s="218">
        <v>3567100000</v>
      </c>
      <c r="F384" s="113">
        <v>3480931755</v>
      </c>
      <c r="G384" s="110">
        <f t="shared" ref="G384:G401" si="24">+F384/E384*100</f>
        <v>97.584361385999827</v>
      </c>
      <c r="H384" s="110">
        <f>(H385+H387+H389+H391+H394+H396+H398)/7</f>
        <v>98.571428571428569</v>
      </c>
      <c r="I384" s="121"/>
    </row>
    <row r="385" spans="2:9" s="115" customFormat="1" ht="16.5" hidden="1" customHeight="1" x14ac:dyDescent="0.25">
      <c r="B385" s="157"/>
      <c r="C385" s="222"/>
      <c r="D385" s="48" t="s">
        <v>153</v>
      </c>
      <c r="E385" s="218">
        <v>656000000</v>
      </c>
      <c r="F385" s="113">
        <f>+F386</f>
        <v>576000000</v>
      </c>
      <c r="G385" s="110">
        <f t="shared" si="24"/>
        <v>87.804878048780495</v>
      </c>
      <c r="H385" s="110">
        <v>90</v>
      </c>
      <c r="I385" s="121"/>
    </row>
    <row r="386" spans="2:9" ht="16.5" hidden="1" customHeight="1" x14ac:dyDescent="0.25">
      <c r="B386" s="76"/>
      <c r="C386" s="226"/>
      <c r="D386" s="32" t="s">
        <v>154</v>
      </c>
      <c r="E386" s="219">
        <v>656000000</v>
      </c>
      <c r="F386" s="108">
        <v>576000000</v>
      </c>
      <c r="G386" s="235">
        <f t="shared" si="24"/>
        <v>87.804878048780495</v>
      </c>
      <c r="H386" s="235">
        <v>90</v>
      </c>
      <c r="I386" s="111"/>
    </row>
    <row r="387" spans="2:9" s="115" customFormat="1" ht="26.25" hidden="1" customHeight="1" x14ac:dyDescent="0.25">
      <c r="B387" s="157"/>
      <c r="C387" s="222"/>
      <c r="D387" s="217" t="s">
        <v>317</v>
      </c>
      <c r="E387" s="218">
        <v>514968000</v>
      </c>
      <c r="F387" s="113">
        <f>+F388</f>
        <v>514387755</v>
      </c>
      <c r="G387" s="110">
        <f t="shared" si="24"/>
        <v>99.887324066738131</v>
      </c>
      <c r="H387" s="110">
        <v>100</v>
      </c>
      <c r="I387" s="121"/>
    </row>
    <row r="388" spans="2:9" ht="16.5" hidden="1" customHeight="1" x14ac:dyDescent="0.25">
      <c r="B388" s="76"/>
      <c r="C388" s="226"/>
      <c r="D388" s="32" t="s">
        <v>318</v>
      </c>
      <c r="E388" s="219">
        <v>514968000</v>
      </c>
      <c r="F388" s="108">
        <v>514387755</v>
      </c>
      <c r="G388" s="235">
        <f t="shared" si="24"/>
        <v>99.887324066738131</v>
      </c>
      <c r="H388" s="235">
        <v>100</v>
      </c>
      <c r="I388" s="111"/>
    </row>
    <row r="389" spans="2:9" s="115" customFormat="1" ht="26.25" hidden="1" customHeight="1" x14ac:dyDescent="0.25">
      <c r="B389" s="157"/>
      <c r="C389" s="222"/>
      <c r="D389" s="217" t="s">
        <v>416</v>
      </c>
      <c r="E389" s="218">
        <v>45000000</v>
      </c>
      <c r="F389" s="113">
        <f>+F390</f>
        <v>45000000</v>
      </c>
      <c r="G389" s="110">
        <f t="shared" si="24"/>
        <v>100</v>
      </c>
      <c r="H389" s="110">
        <f t="shared" si="21"/>
        <v>100</v>
      </c>
      <c r="I389" s="121"/>
    </row>
    <row r="390" spans="2:9" ht="16.5" hidden="1" customHeight="1" x14ac:dyDescent="0.25">
      <c r="B390" s="76"/>
      <c r="C390" s="226"/>
      <c r="D390" s="32" t="s">
        <v>417</v>
      </c>
      <c r="E390" s="219">
        <v>45000000</v>
      </c>
      <c r="F390" s="108">
        <v>45000000</v>
      </c>
      <c r="G390" s="235">
        <f t="shared" si="24"/>
        <v>100</v>
      </c>
      <c r="H390" s="235">
        <f t="shared" si="21"/>
        <v>100</v>
      </c>
      <c r="I390" s="111"/>
    </row>
    <row r="391" spans="2:9" s="115" customFormat="1" ht="16.5" hidden="1" customHeight="1" x14ac:dyDescent="0.25">
      <c r="B391" s="157"/>
      <c r="C391" s="222"/>
      <c r="D391" s="48" t="s">
        <v>418</v>
      </c>
      <c r="E391" s="218">
        <v>472000000</v>
      </c>
      <c r="F391" s="113">
        <f>+F392+F393</f>
        <v>471390000</v>
      </c>
      <c r="G391" s="110">
        <f t="shared" si="24"/>
        <v>99.870762711864401</v>
      </c>
      <c r="H391" s="110">
        <v>100</v>
      </c>
      <c r="I391" s="121"/>
    </row>
    <row r="392" spans="2:9" ht="16.5" hidden="1" customHeight="1" x14ac:dyDescent="0.25">
      <c r="B392" s="76"/>
      <c r="C392" s="226"/>
      <c r="D392" s="32" t="s">
        <v>419</v>
      </c>
      <c r="E392" s="219">
        <v>372000000</v>
      </c>
      <c r="F392" s="108">
        <v>371390000</v>
      </c>
      <c r="G392" s="235">
        <f t="shared" si="24"/>
        <v>99.836021505376351</v>
      </c>
      <c r="H392" s="235">
        <v>100</v>
      </c>
      <c r="I392" s="111"/>
    </row>
    <row r="393" spans="2:9" ht="16.5" hidden="1" customHeight="1" x14ac:dyDescent="0.25">
      <c r="B393" s="76"/>
      <c r="C393" s="226"/>
      <c r="D393" s="32" t="s">
        <v>420</v>
      </c>
      <c r="E393" s="219">
        <v>100000000</v>
      </c>
      <c r="F393" s="108">
        <v>100000000</v>
      </c>
      <c r="G393" s="235">
        <f t="shared" si="24"/>
        <v>100</v>
      </c>
      <c r="H393" s="235">
        <f t="shared" si="21"/>
        <v>100</v>
      </c>
      <c r="I393" s="111"/>
    </row>
    <row r="394" spans="2:9" s="115" customFormat="1" ht="16.5" hidden="1" customHeight="1" x14ac:dyDescent="0.25">
      <c r="B394" s="157"/>
      <c r="C394" s="222"/>
      <c r="D394" s="48" t="s">
        <v>421</v>
      </c>
      <c r="E394" s="218">
        <v>100000000</v>
      </c>
      <c r="F394" s="113">
        <f>+F395</f>
        <v>100000000</v>
      </c>
      <c r="G394" s="110">
        <f t="shared" si="24"/>
        <v>100</v>
      </c>
      <c r="H394" s="110">
        <f t="shared" si="21"/>
        <v>100</v>
      </c>
      <c r="I394" s="121"/>
    </row>
    <row r="395" spans="2:9" ht="16.5" hidden="1" customHeight="1" x14ac:dyDescent="0.25">
      <c r="B395" s="76"/>
      <c r="C395" s="226"/>
      <c r="D395" s="32" t="s">
        <v>422</v>
      </c>
      <c r="E395" s="219">
        <v>100000000</v>
      </c>
      <c r="F395" s="108">
        <v>100000000</v>
      </c>
      <c r="G395" s="235">
        <f t="shared" si="24"/>
        <v>100</v>
      </c>
      <c r="H395" s="235">
        <f t="shared" si="21"/>
        <v>100</v>
      </c>
      <c r="I395" s="111"/>
    </row>
    <row r="396" spans="2:9" s="115" customFormat="1" ht="16.5" hidden="1" customHeight="1" x14ac:dyDescent="0.25">
      <c r="B396" s="157"/>
      <c r="C396" s="222"/>
      <c r="D396" s="48" t="s">
        <v>423</v>
      </c>
      <c r="E396" s="218">
        <v>650034000</v>
      </c>
      <c r="F396" s="113">
        <f>+F397</f>
        <v>645056000</v>
      </c>
      <c r="G396" s="110">
        <f t="shared" si="24"/>
        <v>99.234193903703499</v>
      </c>
      <c r="H396" s="110">
        <v>100</v>
      </c>
      <c r="I396" s="121"/>
    </row>
    <row r="397" spans="2:9" ht="16.5" hidden="1" customHeight="1" x14ac:dyDescent="0.25">
      <c r="B397" s="76"/>
      <c r="C397" s="226"/>
      <c r="D397" s="32" t="s">
        <v>424</v>
      </c>
      <c r="E397" s="219">
        <v>650034000</v>
      </c>
      <c r="F397" s="108">
        <v>645056000</v>
      </c>
      <c r="G397" s="235">
        <f t="shared" si="24"/>
        <v>99.234193903703499</v>
      </c>
      <c r="H397" s="235">
        <v>100</v>
      </c>
      <c r="I397" s="111"/>
    </row>
    <row r="398" spans="2:9" s="115" customFormat="1" ht="16.5" hidden="1" customHeight="1" x14ac:dyDescent="0.25">
      <c r="B398" s="157"/>
      <c r="C398" s="222"/>
      <c r="D398" s="48" t="s">
        <v>425</v>
      </c>
      <c r="E398" s="218">
        <v>1129098000</v>
      </c>
      <c r="F398" s="113">
        <f>+F399+F400+F401</f>
        <v>1129098000</v>
      </c>
      <c r="G398" s="110">
        <f t="shared" si="24"/>
        <v>100</v>
      </c>
      <c r="H398" s="110">
        <f t="shared" si="21"/>
        <v>100</v>
      </c>
      <c r="I398" s="121"/>
    </row>
    <row r="399" spans="2:9" ht="18.75" hidden="1" customHeight="1" x14ac:dyDescent="0.25">
      <c r="B399" s="76"/>
      <c r="C399" s="226"/>
      <c r="D399" s="119" t="s">
        <v>426</v>
      </c>
      <c r="E399" s="219">
        <v>52198000</v>
      </c>
      <c r="F399" s="108">
        <v>52198000</v>
      </c>
      <c r="G399" s="235">
        <f t="shared" si="24"/>
        <v>100</v>
      </c>
      <c r="H399" s="235">
        <f t="shared" si="21"/>
        <v>100</v>
      </c>
      <c r="I399" s="111"/>
    </row>
    <row r="400" spans="2:9" ht="16.5" hidden="1" customHeight="1" x14ac:dyDescent="0.25">
      <c r="B400" s="76"/>
      <c r="C400" s="226"/>
      <c r="D400" s="32" t="s">
        <v>427</v>
      </c>
      <c r="E400" s="219">
        <v>76900000</v>
      </c>
      <c r="F400" s="108">
        <v>76900000</v>
      </c>
      <c r="G400" s="235">
        <f t="shared" si="24"/>
        <v>100</v>
      </c>
      <c r="H400" s="235">
        <f t="shared" ref="H400:H445" si="25">+G400</f>
        <v>100</v>
      </c>
      <c r="I400" s="111"/>
    </row>
    <row r="401" spans="2:9" ht="16.5" hidden="1" customHeight="1" x14ac:dyDescent="0.25">
      <c r="B401" s="76"/>
      <c r="C401" s="226"/>
      <c r="D401" s="232" t="s">
        <v>428</v>
      </c>
      <c r="E401" s="219">
        <v>1000000000</v>
      </c>
      <c r="F401" s="108">
        <v>1000000000</v>
      </c>
      <c r="G401" s="235">
        <f t="shared" si="24"/>
        <v>100</v>
      </c>
      <c r="H401" s="235">
        <f t="shared" si="25"/>
        <v>100</v>
      </c>
      <c r="I401" s="111"/>
    </row>
    <row r="402" spans="2:9" ht="16.5" hidden="1" customHeight="1" x14ac:dyDescent="0.25">
      <c r="B402" s="76"/>
      <c r="C402" s="226"/>
      <c r="D402" s="32"/>
      <c r="E402" s="172"/>
      <c r="F402" s="108"/>
      <c r="G402" s="235"/>
      <c r="H402" s="110"/>
      <c r="I402" s="111"/>
    </row>
    <row r="403" spans="2:9" s="115" customFormat="1" ht="16.5" hidden="1" customHeight="1" x14ac:dyDescent="0.25">
      <c r="B403" s="157"/>
      <c r="C403" s="222"/>
      <c r="D403" s="48" t="s">
        <v>429</v>
      </c>
      <c r="E403" s="224">
        <f>+E404+E410+E415+E421</f>
        <v>5606400000</v>
      </c>
      <c r="F403" s="220">
        <f>+F404+F410+F415+F421</f>
        <v>5350791282</v>
      </c>
      <c r="G403" s="110">
        <f t="shared" ref="G403:G423" si="26">+F403/E403*100</f>
        <v>95.440769156678087</v>
      </c>
      <c r="H403" s="110">
        <f>(H404+H410+H415+H421)/4</f>
        <v>98.125</v>
      </c>
      <c r="I403" s="121"/>
    </row>
    <row r="404" spans="2:9" s="115" customFormat="1" ht="16.5" hidden="1" customHeight="1" x14ac:dyDescent="0.25">
      <c r="B404" s="157"/>
      <c r="C404" s="222"/>
      <c r="D404" s="48" t="s">
        <v>430</v>
      </c>
      <c r="E404" s="224">
        <f>SUM(E405:E409)</f>
        <v>1536960000</v>
      </c>
      <c r="F404" s="220">
        <f>SUM(F405:F409)</f>
        <v>1528627132</v>
      </c>
      <c r="G404" s="110">
        <f t="shared" si="26"/>
        <v>99.457834426400169</v>
      </c>
      <c r="H404" s="110">
        <f>SUM((H405:H409))/5</f>
        <v>100</v>
      </c>
      <c r="I404" s="121"/>
    </row>
    <row r="405" spans="2:9" ht="16.5" hidden="1" customHeight="1" x14ac:dyDescent="0.25">
      <c r="B405" s="76"/>
      <c r="C405" s="226"/>
      <c r="D405" s="32" t="s">
        <v>431</v>
      </c>
      <c r="E405" s="228">
        <v>217500000</v>
      </c>
      <c r="F405" s="221">
        <v>217426000</v>
      </c>
      <c r="G405" s="110">
        <f t="shared" si="26"/>
        <v>99.96597701149426</v>
      </c>
      <c r="H405" s="235">
        <v>100</v>
      </c>
      <c r="I405" s="111"/>
    </row>
    <row r="406" spans="2:9" ht="16.5" hidden="1" customHeight="1" x14ac:dyDescent="0.25">
      <c r="B406" s="76"/>
      <c r="C406" s="226"/>
      <c r="D406" s="32" t="s">
        <v>432</v>
      </c>
      <c r="E406" s="228">
        <v>326500000</v>
      </c>
      <c r="F406" s="221">
        <v>326500000</v>
      </c>
      <c r="G406" s="110">
        <f t="shared" si="26"/>
        <v>100</v>
      </c>
      <c r="H406" s="235">
        <f t="shared" si="25"/>
        <v>100</v>
      </c>
      <c r="I406" s="111"/>
    </row>
    <row r="407" spans="2:9" ht="16.5" hidden="1" customHeight="1" x14ac:dyDescent="0.25">
      <c r="B407" s="76"/>
      <c r="C407" s="226"/>
      <c r="D407" s="32" t="s">
        <v>433</v>
      </c>
      <c r="E407" s="228">
        <v>450000000</v>
      </c>
      <c r="F407" s="221">
        <v>448738200</v>
      </c>
      <c r="G407" s="110">
        <f t="shared" si="26"/>
        <v>99.7196</v>
      </c>
      <c r="H407" s="235">
        <v>100</v>
      </c>
      <c r="I407" s="111"/>
    </row>
    <row r="408" spans="2:9" ht="16.5" hidden="1" customHeight="1" x14ac:dyDescent="0.25">
      <c r="B408" s="76"/>
      <c r="C408" s="226"/>
      <c r="D408" s="32" t="s">
        <v>434</v>
      </c>
      <c r="E408" s="228">
        <v>257760000</v>
      </c>
      <c r="F408" s="221">
        <v>257213532</v>
      </c>
      <c r="G408" s="110">
        <f t="shared" si="26"/>
        <v>99.787993482309119</v>
      </c>
      <c r="H408" s="235">
        <v>100</v>
      </c>
      <c r="I408" s="111"/>
    </row>
    <row r="409" spans="2:9" ht="16.5" hidden="1" customHeight="1" x14ac:dyDescent="0.25">
      <c r="B409" s="76"/>
      <c r="C409" s="226"/>
      <c r="D409" s="32" t="s">
        <v>435</v>
      </c>
      <c r="E409" s="228">
        <v>285200000</v>
      </c>
      <c r="F409" s="221">
        <v>278749400</v>
      </c>
      <c r="G409" s="110">
        <f t="shared" si="26"/>
        <v>97.738218793828892</v>
      </c>
      <c r="H409" s="235">
        <v>100</v>
      </c>
      <c r="I409" s="111"/>
    </row>
    <row r="410" spans="2:9" s="115" customFormat="1" ht="16.5" hidden="1" customHeight="1" x14ac:dyDescent="0.25">
      <c r="B410" s="157"/>
      <c r="C410" s="222"/>
      <c r="D410" s="48" t="s">
        <v>436</v>
      </c>
      <c r="E410" s="224">
        <f>SUM(E411:E414)</f>
        <v>1984500000</v>
      </c>
      <c r="F410" s="220">
        <f>SUM(F411:F414)</f>
        <v>1746024150</v>
      </c>
      <c r="G410" s="110">
        <f t="shared" si="26"/>
        <v>87.983076341647774</v>
      </c>
      <c r="H410" s="110">
        <f>SUM((H411:H414))/4</f>
        <v>92.5</v>
      </c>
      <c r="I410" s="121"/>
    </row>
    <row r="411" spans="2:9" ht="16.5" hidden="1" customHeight="1" x14ac:dyDescent="0.25">
      <c r="B411" s="76"/>
      <c r="C411" s="226"/>
      <c r="D411" s="32" t="s">
        <v>437</v>
      </c>
      <c r="E411" s="228">
        <v>484500000</v>
      </c>
      <c r="F411" s="221">
        <v>479853000</v>
      </c>
      <c r="G411" s="110">
        <f t="shared" si="26"/>
        <v>99.040866873065013</v>
      </c>
      <c r="H411" s="235">
        <v>100</v>
      </c>
      <c r="I411" s="111"/>
    </row>
    <row r="412" spans="2:9" ht="16.5" hidden="1" customHeight="1" x14ac:dyDescent="0.25">
      <c r="B412" s="76"/>
      <c r="C412" s="226"/>
      <c r="D412" s="32" t="s">
        <v>438</v>
      </c>
      <c r="E412" s="228">
        <v>300000000</v>
      </c>
      <c r="F412" s="221">
        <v>298782000</v>
      </c>
      <c r="G412" s="110">
        <f t="shared" si="26"/>
        <v>99.594000000000008</v>
      </c>
      <c r="H412" s="235">
        <v>100</v>
      </c>
      <c r="I412" s="111"/>
    </row>
    <row r="413" spans="2:9" ht="18.75" hidden="1" customHeight="1" x14ac:dyDescent="0.25">
      <c r="B413" s="76"/>
      <c r="C413" s="226"/>
      <c r="D413" s="119" t="s">
        <v>439</v>
      </c>
      <c r="E413" s="228">
        <v>500000000</v>
      </c>
      <c r="F413" s="221">
        <v>494457000</v>
      </c>
      <c r="G413" s="110">
        <f t="shared" si="26"/>
        <v>98.89139999999999</v>
      </c>
      <c r="H413" s="235">
        <v>100</v>
      </c>
      <c r="I413" s="111"/>
    </row>
    <row r="414" spans="2:9" ht="16.5" hidden="1" customHeight="1" x14ac:dyDescent="0.25">
      <c r="B414" s="76"/>
      <c r="C414" s="226"/>
      <c r="D414" s="32" t="s">
        <v>440</v>
      </c>
      <c r="E414" s="228">
        <v>700000000</v>
      </c>
      <c r="F414" s="221">
        <v>472932150</v>
      </c>
      <c r="G414" s="110">
        <f t="shared" si="26"/>
        <v>67.561735714285703</v>
      </c>
      <c r="H414" s="235">
        <v>70</v>
      </c>
      <c r="I414" s="111"/>
    </row>
    <row r="415" spans="2:9" s="115" customFormat="1" ht="16.5" hidden="1" customHeight="1" x14ac:dyDescent="0.25">
      <c r="B415" s="157"/>
      <c r="C415" s="222"/>
      <c r="D415" s="48" t="s">
        <v>441</v>
      </c>
      <c r="E415" s="224">
        <f>SUM(E416:E420)</f>
        <v>1503520000</v>
      </c>
      <c r="F415" s="220">
        <f>SUM(F416:F420)</f>
        <v>1496208500</v>
      </c>
      <c r="G415" s="110">
        <f t="shared" si="26"/>
        <v>99.513707832286897</v>
      </c>
      <c r="H415" s="110">
        <f>SUM((H416:H420))/5</f>
        <v>100</v>
      </c>
      <c r="I415" s="121"/>
    </row>
    <row r="416" spans="2:9" ht="16.5" hidden="1" customHeight="1" x14ac:dyDescent="0.25">
      <c r="B416" s="76"/>
      <c r="C416" s="226"/>
      <c r="D416" s="32" t="s">
        <v>442</v>
      </c>
      <c r="E416" s="228">
        <v>288060000</v>
      </c>
      <c r="F416" s="221">
        <v>287096000</v>
      </c>
      <c r="G416" s="110">
        <f t="shared" si="26"/>
        <v>99.665347497049225</v>
      </c>
      <c r="H416" s="235">
        <v>100</v>
      </c>
      <c r="I416" s="111"/>
    </row>
    <row r="417" spans="2:9" ht="16.5" hidden="1" customHeight="1" x14ac:dyDescent="0.25">
      <c r="B417" s="76"/>
      <c r="C417" s="226"/>
      <c r="D417" s="32" t="s">
        <v>443</v>
      </c>
      <c r="E417" s="228">
        <v>288020000</v>
      </c>
      <c r="F417" s="221">
        <v>287010000</v>
      </c>
      <c r="G417" s="110">
        <f t="shared" si="26"/>
        <v>99.649329907645296</v>
      </c>
      <c r="H417" s="235">
        <v>100</v>
      </c>
      <c r="I417" s="111"/>
    </row>
    <row r="418" spans="2:9" ht="16.5" hidden="1" customHeight="1" x14ac:dyDescent="0.25">
      <c r="B418" s="76"/>
      <c r="C418" s="226"/>
      <c r="D418" s="32" t="s">
        <v>444</v>
      </c>
      <c r="E418" s="228">
        <v>288060000</v>
      </c>
      <c r="F418" s="221">
        <v>287587000</v>
      </c>
      <c r="G418" s="110">
        <f t="shared" si="26"/>
        <v>99.83579809761855</v>
      </c>
      <c r="H418" s="235">
        <v>100</v>
      </c>
      <c r="I418" s="111"/>
    </row>
    <row r="419" spans="2:9" ht="16.5" hidden="1" customHeight="1" x14ac:dyDescent="0.25">
      <c r="B419" s="76"/>
      <c r="C419" s="226"/>
      <c r="D419" s="32" t="s">
        <v>445</v>
      </c>
      <c r="E419" s="228">
        <v>439380000</v>
      </c>
      <c r="F419" s="221">
        <v>434648000</v>
      </c>
      <c r="G419" s="110">
        <f t="shared" si="26"/>
        <v>98.923027902954161</v>
      </c>
      <c r="H419" s="235">
        <v>100</v>
      </c>
      <c r="I419" s="111"/>
    </row>
    <row r="420" spans="2:9" ht="16.5" hidden="1" customHeight="1" x14ac:dyDescent="0.25">
      <c r="B420" s="76"/>
      <c r="C420" s="226"/>
      <c r="D420" s="32" t="s">
        <v>446</v>
      </c>
      <c r="E420" s="228">
        <v>200000000</v>
      </c>
      <c r="F420" s="221">
        <v>199867500</v>
      </c>
      <c r="G420" s="110">
        <f t="shared" si="26"/>
        <v>99.933750000000003</v>
      </c>
      <c r="H420" s="235">
        <v>100</v>
      </c>
      <c r="I420" s="111"/>
    </row>
    <row r="421" spans="2:9" s="115" customFormat="1" ht="16.5" hidden="1" customHeight="1" x14ac:dyDescent="0.25">
      <c r="B421" s="157"/>
      <c r="C421" s="222"/>
      <c r="D421" s="48" t="s">
        <v>447</v>
      </c>
      <c r="E421" s="224">
        <f>SUM(E422:E423)</f>
        <v>581420000</v>
      </c>
      <c r="F421" s="220">
        <f>SUM(F422:F423)</f>
        <v>579931500</v>
      </c>
      <c r="G421" s="110">
        <f t="shared" si="26"/>
        <v>99.743988854872555</v>
      </c>
      <c r="H421" s="110">
        <f>SUM((H422:H423))/2</f>
        <v>100</v>
      </c>
      <c r="I421" s="121"/>
    </row>
    <row r="422" spans="2:9" ht="16.5" hidden="1" customHeight="1" x14ac:dyDescent="0.25">
      <c r="B422" s="76"/>
      <c r="C422" s="226"/>
      <c r="D422" s="32" t="s">
        <v>448</v>
      </c>
      <c r="E422" s="228">
        <v>362095000</v>
      </c>
      <c r="F422" s="221">
        <v>361451500</v>
      </c>
      <c r="G422" s="235">
        <f t="shared" si="26"/>
        <v>99.822284207183202</v>
      </c>
      <c r="H422" s="235">
        <v>100</v>
      </c>
      <c r="I422" s="111"/>
    </row>
    <row r="423" spans="2:9" ht="16.5" hidden="1" customHeight="1" x14ac:dyDescent="0.25">
      <c r="B423" s="76"/>
      <c r="C423" s="226"/>
      <c r="D423" s="32" t="s">
        <v>449</v>
      </c>
      <c r="E423" s="228">
        <v>219325000</v>
      </c>
      <c r="F423" s="221">
        <v>218480000</v>
      </c>
      <c r="G423" s="235">
        <f t="shared" si="26"/>
        <v>99.614727003305589</v>
      </c>
      <c r="H423" s="235">
        <v>100</v>
      </c>
      <c r="I423" s="111"/>
    </row>
    <row r="424" spans="2:9" ht="16.5" hidden="1" customHeight="1" x14ac:dyDescent="0.25">
      <c r="B424" s="76"/>
      <c r="C424" s="226"/>
      <c r="D424" s="32"/>
      <c r="E424" s="172"/>
      <c r="F424" s="108"/>
      <c r="G424" s="235"/>
      <c r="H424" s="110"/>
      <c r="I424" s="111"/>
    </row>
    <row r="425" spans="2:9" s="115" customFormat="1" ht="16.5" hidden="1" customHeight="1" x14ac:dyDescent="0.25">
      <c r="B425" s="157"/>
      <c r="C425" s="222"/>
      <c r="D425" s="48" t="s">
        <v>450</v>
      </c>
      <c r="E425" s="112">
        <f>E426+E440+E444+E446+E448+E453+E456+E459</f>
        <v>27122510000</v>
      </c>
      <c r="F425" s="220">
        <f>+F426+F440+F444+F446+F448+F453+F456+F459</f>
        <v>26621914869</v>
      </c>
      <c r="G425" s="110">
        <f t="shared" ref="G425:G460" si="27">+F425/E425*100</f>
        <v>98.154318567861168</v>
      </c>
      <c r="H425" s="110">
        <f>(H426+H440+H444+H446+H448+H453+H456+H459)/8</f>
        <v>99.651442307692307</v>
      </c>
      <c r="I425" s="121"/>
    </row>
    <row r="426" spans="2:9" s="115" customFormat="1" ht="16.5" hidden="1" customHeight="1" x14ac:dyDescent="0.25">
      <c r="B426" s="157"/>
      <c r="C426" s="222"/>
      <c r="D426" s="48" t="s">
        <v>319</v>
      </c>
      <c r="E426" s="112">
        <v>10409580000</v>
      </c>
      <c r="F426" s="220">
        <f>SUM(F427:F439)</f>
        <v>10209777169</v>
      </c>
      <c r="G426" s="110">
        <f t="shared" si="27"/>
        <v>98.080587007352833</v>
      </c>
      <c r="H426" s="110">
        <f>SUM((H427:H439))/13</f>
        <v>98.461538461538467</v>
      </c>
      <c r="I426" s="121"/>
    </row>
    <row r="427" spans="2:9" ht="16.5" hidden="1" customHeight="1" x14ac:dyDescent="0.25">
      <c r="B427" s="76"/>
      <c r="C427" s="226"/>
      <c r="D427" s="32" t="s">
        <v>451</v>
      </c>
      <c r="E427" s="172">
        <v>981300000</v>
      </c>
      <c r="F427" s="221">
        <v>980105600</v>
      </c>
      <c r="G427" s="235">
        <f t="shared" si="27"/>
        <v>99.878283909100176</v>
      </c>
      <c r="H427" s="235">
        <v>100</v>
      </c>
      <c r="I427" s="111"/>
    </row>
    <row r="428" spans="2:9" ht="16.5" hidden="1" customHeight="1" x14ac:dyDescent="0.25">
      <c r="B428" s="76"/>
      <c r="C428" s="226"/>
      <c r="D428" s="32" t="s">
        <v>452</v>
      </c>
      <c r="E428" s="172">
        <v>506750000</v>
      </c>
      <c r="F428" s="221">
        <v>505512825</v>
      </c>
      <c r="G428" s="235">
        <f t="shared" si="27"/>
        <v>99.755860878145043</v>
      </c>
      <c r="H428" s="235">
        <v>100</v>
      </c>
      <c r="I428" s="111"/>
    </row>
    <row r="429" spans="2:9" ht="16.5" hidden="1" customHeight="1" x14ac:dyDescent="0.25">
      <c r="B429" s="76"/>
      <c r="C429" s="226"/>
      <c r="D429" s="32" t="s">
        <v>453</v>
      </c>
      <c r="E429" s="172">
        <v>500000000</v>
      </c>
      <c r="F429" s="221">
        <v>418019186</v>
      </c>
      <c r="G429" s="235">
        <f t="shared" si="27"/>
        <v>83.603837200000001</v>
      </c>
      <c r="H429" s="235">
        <v>85</v>
      </c>
      <c r="I429" s="111"/>
    </row>
    <row r="430" spans="2:9" ht="16.5" hidden="1" customHeight="1" x14ac:dyDescent="0.25">
      <c r="B430" s="76"/>
      <c r="C430" s="226"/>
      <c r="D430" s="32" t="s">
        <v>454</v>
      </c>
      <c r="E430" s="172">
        <v>849350000</v>
      </c>
      <c r="F430" s="221">
        <v>793117600</v>
      </c>
      <c r="G430" s="235">
        <f t="shared" si="27"/>
        <v>93.379360687584622</v>
      </c>
      <c r="H430" s="235">
        <v>95</v>
      </c>
      <c r="I430" s="111"/>
    </row>
    <row r="431" spans="2:9" ht="16.5" hidden="1" customHeight="1" x14ac:dyDescent="0.25">
      <c r="B431" s="76"/>
      <c r="C431" s="226"/>
      <c r="D431" s="32" t="s">
        <v>455</v>
      </c>
      <c r="E431" s="172">
        <v>1804125000</v>
      </c>
      <c r="F431" s="221">
        <v>1794567250</v>
      </c>
      <c r="G431" s="235">
        <f t="shared" si="27"/>
        <v>99.470227949837181</v>
      </c>
      <c r="H431" s="235">
        <v>100</v>
      </c>
      <c r="I431" s="111"/>
    </row>
    <row r="432" spans="2:9" ht="16.5" hidden="1" customHeight="1" x14ac:dyDescent="0.25">
      <c r="B432" s="76"/>
      <c r="C432" s="226"/>
      <c r="D432" s="32" t="s">
        <v>456</v>
      </c>
      <c r="E432" s="172">
        <v>1042060000</v>
      </c>
      <c r="F432" s="221">
        <v>1040925574</v>
      </c>
      <c r="G432" s="235">
        <f t="shared" si="27"/>
        <v>99.891136210966735</v>
      </c>
      <c r="H432" s="235">
        <v>100</v>
      </c>
      <c r="I432" s="111"/>
    </row>
    <row r="433" spans="2:9" ht="16.5" hidden="1" customHeight="1" x14ac:dyDescent="0.25">
      <c r="B433" s="76"/>
      <c r="C433" s="226"/>
      <c r="D433" s="32" t="s">
        <v>457</v>
      </c>
      <c r="E433" s="172">
        <v>946900000</v>
      </c>
      <c r="F433" s="221">
        <v>943317500</v>
      </c>
      <c r="G433" s="235">
        <f t="shared" si="27"/>
        <v>99.621660154187353</v>
      </c>
      <c r="H433" s="235">
        <v>100</v>
      </c>
      <c r="I433" s="111"/>
    </row>
    <row r="434" spans="2:9" ht="16.5" hidden="1" customHeight="1" x14ac:dyDescent="0.25">
      <c r="B434" s="76"/>
      <c r="C434" s="226"/>
      <c r="D434" s="32" t="s">
        <v>458</v>
      </c>
      <c r="E434" s="172">
        <v>573050000</v>
      </c>
      <c r="F434" s="221">
        <v>572370300</v>
      </c>
      <c r="G434" s="235">
        <f t="shared" si="27"/>
        <v>99.881389058546375</v>
      </c>
      <c r="H434" s="235">
        <v>100</v>
      </c>
      <c r="I434" s="111"/>
    </row>
    <row r="435" spans="2:9" ht="16.5" hidden="1" customHeight="1" x14ac:dyDescent="0.25">
      <c r="B435" s="76"/>
      <c r="C435" s="226"/>
      <c r="D435" s="32" t="s">
        <v>459</v>
      </c>
      <c r="E435" s="172">
        <v>585550000</v>
      </c>
      <c r="F435" s="221">
        <v>582992034</v>
      </c>
      <c r="G435" s="235">
        <f t="shared" si="27"/>
        <v>99.563151566902903</v>
      </c>
      <c r="H435" s="235">
        <v>100</v>
      </c>
      <c r="I435" s="111"/>
    </row>
    <row r="436" spans="2:9" ht="16.5" hidden="1" customHeight="1" x14ac:dyDescent="0.25">
      <c r="B436" s="76"/>
      <c r="C436" s="226"/>
      <c r="D436" s="32" t="s">
        <v>460</v>
      </c>
      <c r="E436" s="172">
        <v>566895000</v>
      </c>
      <c r="F436" s="221">
        <v>562635300</v>
      </c>
      <c r="G436" s="235">
        <f t="shared" si="27"/>
        <v>99.248591008917003</v>
      </c>
      <c r="H436" s="235">
        <v>100</v>
      </c>
      <c r="I436" s="111"/>
    </row>
    <row r="437" spans="2:9" ht="16.5" hidden="1" customHeight="1" x14ac:dyDescent="0.25">
      <c r="B437" s="76"/>
      <c r="C437" s="226"/>
      <c r="D437" s="32" t="s">
        <v>461</v>
      </c>
      <c r="E437" s="172">
        <v>332000000</v>
      </c>
      <c r="F437" s="221">
        <v>331374000</v>
      </c>
      <c r="G437" s="235">
        <f t="shared" si="27"/>
        <v>99.811445783132541</v>
      </c>
      <c r="H437" s="235">
        <v>100</v>
      </c>
      <c r="I437" s="111"/>
    </row>
    <row r="438" spans="2:9" ht="16.5" hidden="1" customHeight="1" x14ac:dyDescent="0.25">
      <c r="B438" s="76"/>
      <c r="C438" s="226"/>
      <c r="D438" s="32" t="s">
        <v>462</v>
      </c>
      <c r="E438" s="172">
        <v>983100000</v>
      </c>
      <c r="F438" s="221">
        <v>949973000</v>
      </c>
      <c r="G438" s="235">
        <f t="shared" si="27"/>
        <v>96.630352965110362</v>
      </c>
      <c r="H438" s="235">
        <v>100</v>
      </c>
      <c r="I438" s="111"/>
    </row>
    <row r="439" spans="2:9" ht="16.5" hidden="1" customHeight="1" x14ac:dyDescent="0.25">
      <c r="B439" s="76"/>
      <c r="C439" s="226"/>
      <c r="D439" s="32" t="s">
        <v>463</v>
      </c>
      <c r="E439" s="172">
        <v>738500000</v>
      </c>
      <c r="F439" s="221">
        <v>734867000</v>
      </c>
      <c r="G439" s="235">
        <f t="shared" si="27"/>
        <v>99.508056872037926</v>
      </c>
      <c r="H439" s="235">
        <v>100</v>
      </c>
      <c r="I439" s="111"/>
    </row>
    <row r="440" spans="2:9" s="115" customFormat="1" ht="16.5" hidden="1" customHeight="1" x14ac:dyDescent="0.25">
      <c r="B440" s="157"/>
      <c r="C440" s="222"/>
      <c r="D440" s="48" t="s">
        <v>464</v>
      </c>
      <c r="E440" s="112">
        <v>5089136000</v>
      </c>
      <c r="F440" s="220">
        <f>SUM(F441:F443)</f>
        <v>5029813200</v>
      </c>
      <c r="G440" s="110">
        <f t="shared" si="27"/>
        <v>98.834324726240368</v>
      </c>
      <c r="H440" s="110">
        <f>SUM((H441:H443))/3</f>
        <v>100</v>
      </c>
      <c r="I440" s="121"/>
    </row>
    <row r="441" spans="2:9" ht="16.5" hidden="1" customHeight="1" x14ac:dyDescent="0.25">
      <c r="B441" s="76"/>
      <c r="C441" s="226"/>
      <c r="D441" s="32" t="s">
        <v>465</v>
      </c>
      <c r="E441" s="172">
        <v>1431913000</v>
      </c>
      <c r="F441" s="221">
        <v>1401873400</v>
      </c>
      <c r="G441" s="235">
        <f t="shared" si="27"/>
        <v>97.902135115750738</v>
      </c>
      <c r="H441" s="235">
        <v>100</v>
      </c>
      <c r="I441" s="111"/>
    </row>
    <row r="442" spans="2:9" ht="16.5" hidden="1" customHeight="1" x14ac:dyDescent="0.25">
      <c r="B442" s="76"/>
      <c r="C442" s="226"/>
      <c r="D442" s="32" t="s">
        <v>466</v>
      </c>
      <c r="E442" s="172">
        <v>3050000000</v>
      </c>
      <c r="F442" s="221">
        <v>3036026000</v>
      </c>
      <c r="G442" s="235">
        <f t="shared" si="27"/>
        <v>99.541836065573776</v>
      </c>
      <c r="H442" s="235">
        <v>100</v>
      </c>
      <c r="I442" s="111"/>
    </row>
    <row r="443" spans="2:9" ht="16.5" hidden="1" customHeight="1" x14ac:dyDescent="0.25">
      <c r="B443" s="76"/>
      <c r="C443" s="226"/>
      <c r="D443" s="32" t="s">
        <v>467</v>
      </c>
      <c r="E443" s="172">
        <v>607223000</v>
      </c>
      <c r="F443" s="221">
        <v>591913800</v>
      </c>
      <c r="G443" s="235">
        <f t="shared" si="27"/>
        <v>97.478817501972088</v>
      </c>
      <c r="H443" s="235">
        <v>100</v>
      </c>
      <c r="I443" s="111"/>
    </row>
    <row r="444" spans="2:9" s="115" customFormat="1" ht="16.5" hidden="1" customHeight="1" x14ac:dyDescent="0.25">
      <c r="B444" s="157"/>
      <c r="C444" s="222"/>
      <c r="D444" s="48" t="s">
        <v>468</v>
      </c>
      <c r="E444" s="112">
        <v>250000000</v>
      </c>
      <c r="F444" s="220">
        <f>+F445</f>
        <v>250000000</v>
      </c>
      <c r="G444" s="110">
        <f t="shared" si="27"/>
        <v>100</v>
      </c>
      <c r="H444" s="110">
        <f t="shared" si="25"/>
        <v>100</v>
      </c>
      <c r="I444" s="121"/>
    </row>
    <row r="445" spans="2:9" ht="16.5" hidden="1" customHeight="1" x14ac:dyDescent="0.25">
      <c r="B445" s="76"/>
      <c r="C445" s="226"/>
      <c r="D445" s="32" t="s">
        <v>469</v>
      </c>
      <c r="E445" s="172">
        <v>250000000</v>
      </c>
      <c r="F445" s="221">
        <v>250000000</v>
      </c>
      <c r="G445" s="235">
        <f t="shared" si="27"/>
        <v>100</v>
      </c>
      <c r="H445" s="235">
        <f t="shared" si="25"/>
        <v>100</v>
      </c>
      <c r="I445" s="111"/>
    </row>
    <row r="446" spans="2:9" s="115" customFormat="1" ht="16.5" hidden="1" customHeight="1" x14ac:dyDescent="0.25">
      <c r="B446" s="157"/>
      <c r="C446" s="222"/>
      <c r="D446" s="48" t="s">
        <v>470</v>
      </c>
      <c r="E446" s="112">
        <v>1903950000</v>
      </c>
      <c r="F446" s="220">
        <f>+F447</f>
        <v>1898567100</v>
      </c>
      <c r="G446" s="110">
        <f t="shared" si="27"/>
        <v>99.717277239423311</v>
      </c>
      <c r="H446" s="110">
        <f>H447</f>
        <v>100</v>
      </c>
      <c r="I446" s="121"/>
    </row>
    <row r="447" spans="2:9" ht="16.5" hidden="1" customHeight="1" x14ac:dyDescent="0.25">
      <c r="B447" s="76"/>
      <c r="C447" s="226"/>
      <c r="D447" s="32" t="s">
        <v>471</v>
      </c>
      <c r="E447" s="172">
        <v>1903950000</v>
      </c>
      <c r="F447" s="221">
        <v>1898567100</v>
      </c>
      <c r="G447" s="235">
        <f t="shared" si="27"/>
        <v>99.717277239423311</v>
      </c>
      <c r="H447" s="235">
        <v>100</v>
      </c>
      <c r="I447" s="111"/>
    </row>
    <row r="448" spans="2:9" s="115" customFormat="1" ht="16.5" hidden="1" customHeight="1" x14ac:dyDescent="0.25">
      <c r="B448" s="157"/>
      <c r="C448" s="222"/>
      <c r="D448" s="48" t="s">
        <v>472</v>
      </c>
      <c r="E448" s="112">
        <v>2526294000</v>
      </c>
      <c r="F448" s="220">
        <f>SUM(F449:F452)</f>
        <v>2441184400</v>
      </c>
      <c r="G448" s="110">
        <f t="shared" si="27"/>
        <v>96.631049276133339</v>
      </c>
      <c r="H448" s="110">
        <f>SUM((H449:H452))/4</f>
        <v>98.75</v>
      </c>
      <c r="I448" s="121"/>
    </row>
    <row r="449" spans="2:9" ht="16.5" hidden="1" customHeight="1" x14ac:dyDescent="0.25">
      <c r="B449" s="76"/>
      <c r="C449" s="226"/>
      <c r="D449" s="32" t="s">
        <v>473</v>
      </c>
      <c r="E449" s="172">
        <v>660000000</v>
      </c>
      <c r="F449" s="221">
        <v>651856700</v>
      </c>
      <c r="G449" s="235">
        <f t="shared" si="27"/>
        <v>98.766166666666663</v>
      </c>
      <c r="H449" s="235">
        <v>100</v>
      </c>
      <c r="I449" s="111"/>
    </row>
    <row r="450" spans="2:9" ht="16.5" hidden="1" customHeight="1" x14ac:dyDescent="0.25">
      <c r="B450" s="76"/>
      <c r="C450" s="226"/>
      <c r="D450" s="32" t="s">
        <v>474</v>
      </c>
      <c r="E450" s="172">
        <v>304975000</v>
      </c>
      <c r="F450" s="221">
        <v>297990000</v>
      </c>
      <c r="G450" s="235">
        <f t="shared" si="27"/>
        <v>97.709648331830479</v>
      </c>
      <c r="H450" s="235">
        <v>100</v>
      </c>
      <c r="I450" s="111"/>
    </row>
    <row r="451" spans="2:9" ht="16.5" hidden="1" customHeight="1" x14ac:dyDescent="0.25">
      <c r="B451" s="76"/>
      <c r="C451" s="226"/>
      <c r="D451" s="32" t="s">
        <v>475</v>
      </c>
      <c r="E451" s="172">
        <v>418619000</v>
      </c>
      <c r="F451" s="221">
        <v>409639000</v>
      </c>
      <c r="G451" s="235">
        <f t="shared" si="27"/>
        <v>97.854851308707907</v>
      </c>
      <c r="H451" s="235">
        <v>100</v>
      </c>
      <c r="I451" s="111"/>
    </row>
    <row r="452" spans="2:9" ht="16.5" hidden="1" customHeight="1" x14ac:dyDescent="0.25">
      <c r="B452" s="76"/>
      <c r="C452" s="226"/>
      <c r="D452" s="32" t="s">
        <v>476</v>
      </c>
      <c r="E452" s="172">
        <v>1142700000</v>
      </c>
      <c r="F452" s="221">
        <v>1081698700</v>
      </c>
      <c r="G452" s="235">
        <f t="shared" si="27"/>
        <v>94.661652227181236</v>
      </c>
      <c r="H452" s="235">
        <v>95</v>
      </c>
      <c r="I452" s="111"/>
    </row>
    <row r="453" spans="2:9" s="115" customFormat="1" ht="16.5" hidden="1" customHeight="1" x14ac:dyDescent="0.25">
      <c r="B453" s="157"/>
      <c r="C453" s="222"/>
      <c r="D453" s="48" t="s">
        <v>477</v>
      </c>
      <c r="E453" s="112">
        <v>1966175000</v>
      </c>
      <c r="F453" s="220">
        <f>+F454+F455</f>
        <v>1934903000</v>
      </c>
      <c r="G453" s="110">
        <f t="shared" si="27"/>
        <v>98.409500680254808</v>
      </c>
      <c r="H453" s="110">
        <f>SUM((H454:H455))/2</f>
        <v>100</v>
      </c>
      <c r="I453" s="121"/>
    </row>
    <row r="454" spans="2:9" ht="16.5" hidden="1" customHeight="1" x14ac:dyDescent="0.25">
      <c r="B454" s="76"/>
      <c r="C454" s="226"/>
      <c r="D454" s="32" t="s">
        <v>478</v>
      </c>
      <c r="E454" s="172">
        <v>1000000000</v>
      </c>
      <c r="F454" s="221">
        <v>977579500</v>
      </c>
      <c r="G454" s="235">
        <f t="shared" si="27"/>
        <v>97.757950000000008</v>
      </c>
      <c r="H454" s="235">
        <v>100</v>
      </c>
      <c r="I454" s="111"/>
    </row>
    <row r="455" spans="2:9" ht="16.5" hidden="1" customHeight="1" x14ac:dyDescent="0.25">
      <c r="B455" s="76"/>
      <c r="C455" s="226"/>
      <c r="D455" s="32" t="s">
        <v>479</v>
      </c>
      <c r="E455" s="172">
        <v>966175000</v>
      </c>
      <c r="F455" s="221">
        <v>957323500</v>
      </c>
      <c r="G455" s="235">
        <f t="shared" si="27"/>
        <v>99.083861619271872</v>
      </c>
      <c r="H455" s="235">
        <v>100</v>
      </c>
      <c r="I455" s="111"/>
    </row>
    <row r="456" spans="2:9" s="115" customFormat="1" ht="16.5" hidden="1" customHeight="1" x14ac:dyDescent="0.25">
      <c r="B456" s="157"/>
      <c r="C456" s="222"/>
      <c r="D456" s="48" t="s">
        <v>480</v>
      </c>
      <c r="E456" s="112">
        <v>1983175000</v>
      </c>
      <c r="F456" s="220">
        <f>+F457+F458</f>
        <v>1869774000</v>
      </c>
      <c r="G456" s="110">
        <f t="shared" si="27"/>
        <v>94.28184602972506</v>
      </c>
      <c r="H456" s="110">
        <f>SUM((H457:H458))/2</f>
        <v>100</v>
      </c>
      <c r="I456" s="121"/>
    </row>
    <row r="457" spans="2:9" ht="16.5" hidden="1" customHeight="1" x14ac:dyDescent="0.25">
      <c r="B457" s="76"/>
      <c r="C457" s="226"/>
      <c r="D457" s="32" t="s">
        <v>481</v>
      </c>
      <c r="E457" s="172">
        <v>1500000000</v>
      </c>
      <c r="F457" s="221">
        <v>1387256500</v>
      </c>
      <c r="G457" s="235">
        <f t="shared" si="27"/>
        <v>92.483766666666668</v>
      </c>
      <c r="H457" s="235">
        <v>100</v>
      </c>
      <c r="I457" s="111"/>
    </row>
    <row r="458" spans="2:9" ht="16.5" hidden="1" customHeight="1" x14ac:dyDescent="0.25">
      <c r="B458" s="76"/>
      <c r="C458" s="226"/>
      <c r="D458" s="32" t="s">
        <v>482</v>
      </c>
      <c r="E458" s="172">
        <v>483175000</v>
      </c>
      <c r="F458" s="221">
        <v>482517500</v>
      </c>
      <c r="G458" s="235">
        <f t="shared" si="27"/>
        <v>99.863920939618154</v>
      </c>
      <c r="H458" s="235">
        <v>100</v>
      </c>
      <c r="I458" s="111"/>
    </row>
    <row r="459" spans="2:9" s="115" customFormat="1" ht="16.5" hidden="1" customHeight="1" x14ac:dyDescent="0.25">
      <c r="B459" s="157"/>
      <c r="C459" s="222"/>
      <c r="D459" s="48" t="s">
        <v>483</v>
      </c>
      <c r="E459" s="112">
        <v>2994200000</v>
      </c>
      <c r="F459" s="220">
        <f>+F460</f>
        <v>2987896000</v>
      </c>
      <c r="G459" s="110">
        <f t="shared" si="27"/>
        <v>99.789459621935734</v>
      </c>
      <c r="H459" s="110">
        <f>H460</f>
        <v>100</v>
      </c>
      <c r="I459" s="121"/>
    </row>
    <row r="460" spans="2:9" ht="16.5" hidden="1" customHeight="1" x14ac:dyDescent="0.25">
      <c r="B460" s="76"/>
      <c r="C460" s="226"/>
      <c r="D460" s="32" t="s">
        <v>484</v>
      </c>
      <c r="E460" s="172">
        <v>2994200000</v>
      </c>
      <c r="F460" s="221">
        <v>2987896000</v>
      </c>
      <c r="G460" s="235">
        <f t="shared" si="27"/>
        <v>99.789459621935734</v>
      </c>
      <c r="H460" s="235">
        <v>100</v>
      </c>
      <c r="I460" s="111"/>
    </row>
    <row r="461" spans="2:9" ht="16.5" hidden="1" customHeight="1" x14ac:dyDescent="0.25">
      <c r="B461" s="76"/>
      <c r="C461" s="226"/>
      <c r="D461" s="32"/>
      <c r="E461" s="172"/>
      <c r="F461" s="108"/>
      <c r="G461" s="235"/>
      <c r="H461" s="110"/>
      <c r="I461" s="111"/>
    </row>
    <row r="462" spans="2:9" s="115" customFormat="1" ht="16.5" hidden="1" customHeight="1" x14ac:dyDescent="0.25">
      <c r="B462" s="157"/>
      <c r="C462" s="222"/>
      <c r="D462" s="48" t="s">
        <v>485</v>
      </c>
      <c r="E462" s="218">
        <v>14458670315</v>
      </c>
      <c r="F462" s="113">
        <f>+F463+F466+F473+F475+F484</f>
        <v>14368231506</v>
      </c>
      <c r="G462" s="110">
        <f t="shared" ref="G462:G488" si="28">+F462/E462*100</f>
        <v>99.374501202187489</v>
      </c>
      <c r="H462" s="110">
        <f>(H463+H466+H473+H475+H484)/5</f>
        <v>99.999255805788721</v>
      </c>
      <c r="I462" s="121"/>
    </row>
    <row r="463" spans="2:9" s="115" customFormat="1" ht="16.5" hidden="1" customHeight="1" x14ac:dyDescent="0.25">
      <c r="B463" s="157"/>
      <c r="C463" s="222"/>
      <c r="D463" s="48" t="s">
        <v>486</v>
      </c>
      <c r="E463" s="218">
        <v>1818044130</v>
      </c>
      <c r="F463" s="113">
        <f>+F464+F465</f>
        <v>1817065000</v>
      </c>
      <c r="G463" s="110">
        <f t="shared" si="28"/>
        <v>99.946143771548606</v>
      </c>
      <c r="H463" s="110">
        <f>SUM((H464:H465))/2</f>
        <v>100</v>
      </c>
      <c r="I463" s="121"/>
    </row>
    <row r="464" spans="2:9" ht="16.5" hidden="1" customHeight="1" x14ac:dyDescent="0.25">
      <c r="B464" s="76"/>
      <c r="C464" s="226"/>
      <c r="D464" s="32" t="s">
        <v>487</v>
      </c>
      <c r="E464" s="219">
        <v>1247261000</v>
      </c>
      <c r="F464" s="108">
        <v>1246985000</v>
      </c>
      <c r="G464" s="235">
        <f t="shared" si="28"/>
        <v>99.97787151205722</v>
      </c>
      <c r="H464" s="235">
        <v>100</v>
      </c>
      <c r="I464" s="111"/>
    </row>
    <row r="465" spans="2:9" ht="16.5" hidden="1" customHeight="1" x14ac:dyDescent="0.25">
      <c r="B465" s="76"/>
      <c r="C465" s="226"/>
      <c r="D465" s="32" t="s">
        <v>488</v>
      </c>
      <c r="E465" s="219">
        <v>570783130</v>
      </c>
      <c r="F465" s="108">
        <v>570080000</v>
      </c>
      <c r="G465" s="235">
        <f t="shared" si="28"/>
        <v>99.876813107633367</v>
      </c>
      <c r="H465" s="235">
        <v>100</v>
      </c>
      <c r="I465" s="111"/>
    </row>
    <row r="466" spans="2:9" s="115" customFormat="1" ht="16.5" hidden="1" customHeight="1" x14ac:dyDescent="0.25">
      <c r="B466" s="157"/>
      <c r="C466" s="222"/>
      <c r="D466" s="48" t="s">
        <v>464</v>
      </c>
      <c r="E466" s="218">
        <v>2765609402</v>
      </c>
      <c r="F466" s="113">
        <f>SUM(F467:F472)</f>
        <v>2756822764</v>
      </c>
      <c r="G466" s="110">
        <f t="shared" si="28"/>
        <v>99.682289263493047</v>
      </c>
      <c r="H466" s="110">
        <f>SUM((H467:H472))/6</f>
        <v>100</v>
      </c>
      <c r="I466" s="121"/>
    </row>
    <row r="467" spans="2:9" ht="16.5" hidden="1" customHeight="1" x14ac:dyDescent="0.25">
      <c r="B467" s="76"/>
      <c r="C467" s="226"/>
      <c r="D467" s="32" t="s">
        <v>489</v>
      </c>
      <c r="E467" s="219">
        <v>421700000</v>
      </c>
      <c r="F467" s="108">
        <v>420700000</v>
      </c>
      <c r="G467" s="235">
        <f t="shared" si="28"/>
        <v>99.762864595684135</v>
      </c>
      <c r="H467" s="235">
        <v>100</v>
      </c>
      <c r="I467" s="111"/>
    </row>
    <row r="468" spans="2:9" ht="18.75" hidden="1" customHeight="1" x14ac:dyDescent="0.25">
      <c r="B468" s="76"/>
      <c r="C468" s="226"/>
      <c r="D468" s="119" t="s">
        <v>490</v>
      </c>
      <c r="E468" s="219">
        <v>224000000</v>
      </c>
      <c r="F468" s="108">
        <v>224000000</v>
      </c>
      <c r="G468" s="235">
        <f t="shared" si="28"/>
        <v>100</v>
      </c>
      <c r="H468" s="235">
        <f t="shared" ref="H468:H514" si="29">+G468</f>
        <v>100</v>
      </c>
      <c r="I468" s="111"/>
    </row>
    <row r="469" spans="2:9" ht="18.75" hidden="1" customHeight="1" x14ac:dyDescent="0.25">
      <c r="B469" s="76"/>
      <c r="C469" s="226"/>
      <c r="D469" s="119" t="s">
        <v>491</v>
      </c>
      <c r="E469" s="219">
        <v>457411108</v>
      </c>
      <c r="F469" s="108">
        <v>452852600</v>
      </c>
      <c r="G469" s="235">
        <f t="shared" si="28"/>
        <v>99.003411172078486</v>
      </c>
      <c r="H469" s="235">
        <v>100</v>
      </c>
      <c r="I469" s="111"/>
    </row>
    <row r="470" spans="2:9" ht="16.5" hidden="1" customHeight="1" x14ac:dyDescent="0.25">
      <c r="B470" s="76"/>
      <c r="C470" s="226"/>
      <c r="D470" s="32" t="s">
        <v>492</v>
      </c>
      <c r="E470" s="219">
        <v>986861630</v>
      </c>
      <c r="F470" s="108">
        <v>983633500</v>
      </c>
      <c r="G470" s="235">
        <f t="shared" si="28"/>
        <v>99.672889298573693</v>
      </c>
      <c r="H470" s="235">
        <v>100</v>
      </c>
      <c r="I470" s="111"/>
    </row>
    <row r="471" spans="2:9" ht="16.5" hidden="1" customHeight="1" x14ac:dyDescent="0.25">
      <c r="B471" s="76"/>
      <c r="C471" s="226"/>
      <c r="D471" s="32" t="s">
        <v>493</v>
      </c>
      <c r="E471" s="219">
        <v>383260000</v>
      </c>
      <c r="F471" s="108">
        <v>383260000</v>
      </c>
      <c r="G471" s="235">
        <f t="shared" si="28"/>
        <v>100</v>
      </c>
      <c r="H471" s="235">
        <f t="shared" si="29"/>
        <v>100</v>
      </c>
      <c r="I471" s="111"/>
    </row>
    <row r="472" spans="2:9" ht="16.5" hidden="1" customHeight="1" x14ac:dyDescent="0.25">
      <c r="B472" s="76"/>
      <c r="C472" s="226"/>
      <c r="D472" s="32" t="s">
        <v>494</v>
      </c>
      <c r="E472" s="219">
        <v>292376664</v>
      </c>
      <c r="F472" s="108">
        <v>292376664</v>
      </c>
      <c r="G472" s="235">
        <f t="shared" si="28"/>
        <v>100</v>
      </c>
      <c r="H472" s="235">
        <f t="shared" si="29"/>
        <v>100</v>
      </c>
      <c r="I472" s="111"/>
    </row>
    <row r="473" spans="2:9" s="115" customFormat="1" ht="16.5" hidden="1" customHeight="1" x14ac:dyDescent="0.25">
      <c r="B473" s="157"/>
      <c r="C473" s="222"/>
      <c r="D473" s="48" t="s">
        <v>468</v>
      </c>
      <c r="E473" s="218">
        <v>1310679370</v>
      </c>
      <c r="F473" s="113">
        <f>+F474</f>
        <v>1310630600</v>
      </c>
      <c r="G473" s="110">
        <f t="shared" si="28"/>
        <v>99.99627902894359</v>
      </c>
      <c r="H473" s="110">
        <f t="shared" si="29"/>
        <v>99.99627902894359</v>
      </c>
      <c r="I473" s="121"/>
    </row>
    <row r="474" spans="2:9" ht="16.5" hidden="1" customHeight="1" x14ac:dyDescent="0.25">
      <c r="B474" s="76"/>
      <c r="C474" s="226"/>
      <c r="D474" s="32" t="s">
        <v>495</v>
      </c>
      <c r="E474" s="219">
        <v>1310679370</v>
      </c>
      <c r="F474" s="108">
        <v>1310630600</v>
      </c>
      <c r="G474" s="235">
        <f t="shared" si="28"/>
        <v>99.99627902894359</v>
      </c>
      <c r="H474" s="235">
        <f t="shared" si="29"/>
        <v>99.99627902894359</v>
      </c>
      <c r="I474" s="111"/>
    </row>
    <row r="475" spans="2:9" s="115" customFormat="1" ht="16.5" hidden="1" customHeight="1" x14ac:dyDescent="0.25">
      <c r="B475" s="157"/>
      <c r="C475" s="222"/>
      <c r="D475" s="48" t="s">
        <v>496</v>
      </c>
      <c r="E475" s="218">
        <v>6315558913</v>
      </c>
      <c r="F475" s="113">
        <f>SUM(F476:F483)</f>
        <v>6234934642</v>
      </c>
      <c r="G475" s="110">
        <f t="shared" si="28"/>
        <v>98.72340243974223</v>
      </c>
      <c r="H475" s="110">
        <f>SUM((H476:H483))/8</f>
        <v>100</v>
      </c>
      <c r="I475" s="121"/>
    </row>
    <row r="476" spans="2:9" ht="16.5" hidden="1" customHeight="1" x14ac:dyDescent="0.25">
      <c r="B476" s="76"/>
      <c r="C476" s="226"/>
      <c r="D476" s="32" t="s">
        <v>497</v>
      </c>
      <c r="E476" s="219">
        <v>491324000</v>
      </c>
      <c r="F476" s="108">
        <v>490924000</v>
      </c>
      <c r="G476" s="235">
        <f t="shared" si="28"/>
        <v>99.918587327303371</v>
      </c>
      <c r="H476" s="235">
        <v>100</v>
      </c>
      <c r="I476" s="111"/>
    </row>
    <row r="477" spans="2:9" ht="16.5" hidden="1" customHeight="1" x14ac:dyDescent="0.25">
      <c r="B477" s="76"/>
      <c r="C477" s="226"/>
      <c r="D477" s="32" t="s">
        <v>498</v>
      </c>
      <c r="E477" s="219">
        <v>130250000</v>
      </c>
      <c r="F477" s="108">
        <v>130250000</v>
      </c>
      <c r="G477" s="235">
        <f t="shared" si="28"/>
        <v>100</v>
      </c>
      <c r="H477" s="235">
        <f t="shared" si="29"/>
        <v>100</v>
      </c>
      <c r="I477" s="111"/>
    </row>
    <row r="478" spans="2:9" ht="16.5" hidden="1" customHeight="1" x14ac:dyDescent="0.25">
      <c r="B478" s="76"/>
      <c r="C478" s="226"/>
      <c r="D478" s="32" t="s">
        <v>499</v>
      </c>
      <c r="E478" s="219">
        <v>732350000</v>
      </c>
      <c r="F478" s="108">
        <v>732350000</v>
      </c>
      <c r="G478" s="235">
        <f t="shared" si="28"/>
        <v>100</v>
      </c>
      <c r="H478" s="235">
        <f t="shared" si="29"/>
        <v>100</v>
      </c>
      <c r="I478" s="111"/>
    </row>
    <row r="479" spans="2:9" ht="16.5" hidden="1" customHeight="1" x14ac:dyDescent="0.25">
      <c r="B479" s="76"/>
      <c r="C479" s="226"/>
      <c r="D479" s="32" t="s">
        <v>500</v>
      </c>
      <c r="E479" s="219">
        <v>779200000</v>
      </c>
      <c r="F479" s="108">
        <v>779200000</v>
      </c>
      <c r="G479" s="235">
        <f t="shared" si="28"/>
        <v>100</v>
      </c>
      <c r="H479" s="235">
        <f t="shared" si="29"/>
        <v>100</v>
      </c>
      <c r="I479" s="111"/>
    </row>
    <row r="480" spans="2:9" ht="16.5" hidden="1" customHeight="1" x14ac:dyDescent="0.25">
      <c r="B480" s="76"/>
      <c r="C480" s="226"/>
      <c r="D480" s="32" t="s">
        <v>501</v>
      </c>
      <c r="E480" s="219">
        <v>2163100000</v>
      </c>
      <c r="F480" s="108">
        <v>2083953800</v>
      </c>
      <c r="G480" s="235">
        <f t="shared" si="28"/>
        <v>96.341075308584905</v>
      </c>
      <c r="H480" s="235">
        <v>100</v>
      </c>
      <c r="I480" s="111"/>
    </row>
    <row r="481" spans="2:9" ht="16.5" hidden="1" customHeight="1" x14ac:dyDescent="0.25">
      <c r="B481" s="76"/>
      <c r="C481" s="226"/>
      <c r="D481" s="32" t="s">
        <v>502</v>
      </c>
      <c r="E481" s="219">
        <v>22476000</v>
      </c>
      <c r="F481" s="108">
        <v>22476000</v>
      </c>
      <c r="G481" s="235">
        <f t="shared" si="28"/>
        <v>100</v>
      </c>
      <c r="H481" s="235">
        <v>100</v>
      </c>
      <c r="I481" s="111"/>
    </row>
    <row r="482" spans="2:9" ht="16.5" hidden="1" customHeight="1" x14ac:dyDescent="0.25">
      <c r="B482" s="76"/>
      <c r="C482" s="226"/>
      <c r="D482" s="32" t="s">
        <v>503</v>
      </c>
      <c r="E482" s="219">
        <v>1209808913</v>
      </c>
      <c r="F482" s="108">
        <v>1208730842</v>
      </c>
      <c r="G482" s="235">
        <f t="shared" si="28"/>
        <v>99.910889150475285</v>
      </c>
      <c r="H482" s="235">
        <v>100</v>
      </c>
      <c r="I482" s="111"/>
    </row>
    <row r="483" spans="2:9" ht="16.5" hidden="1" customHeight="1" x14ac:dyDescent="0.25">
      <c r="B483" s="76"/>
      <c r="C483" s="226"/>
      <c r="D483" s="32" t="s">
        <v>504</v>
      </c>
      <c r="E483" s="219">
        <v>787050000</v>
      </c>
      <c r="F483" s="108">
        <v>787050000</v>
      </c>
      <c r="G483" s="235">
        <f t="shared" si="28"/>
        <v>100</v>
      </c>
      <c r="H483" s="235">
        <f t="shared" si="29"/>
        <v>100</v>
      </c>
      <c r="I483" s="111"/>
    </row>
    <row r="484" spans="2:9" s="115" customFormat="1" ht="16.5" hidden="1" customHeight="1" x14ac:dyDescent="0.25">
      <c r="B484" s="157"/>
      <c r="C484" s="222"/>
      <c r="D484" s="48" t="s">
        <v>472</v>
      </c>
      <c r="E484" s="218">
        <v>2248778500</v>
      </c>
      <c r="F484" s="113">
        <f>+F485+F486+F487+F488</f>
        <v>2248778500</v>
      </c>
      <c r="G484" s="110">
        <f t="shared" si="28"/>
        <v>100</v>
      </c>
      <c r="H484" s="110">
        <f>SUM((H485:H488))/4</f>
        <v>100</v>
      </c>
      <c r="I484" s="121"/>
    </row>
    <row r="485" spans="2:9" ht="16.5" hidden="1" customHeight="1" x14ac:dyDescent="0.25">
      <c r="B485" s="76"/>
      <c r="C485" s="226"/>
      <c r="D485" s="32" t="s">
        <v>505</v>
      </c>
      <c r="E485" s="219">
        <v>829300000</v>
      </c>
      <c r="F485" s="108">
        <v>829300000</v>
      </c>
      <c r="G485" s="235">
        <f t="shared" si="28"/>
        <v>100</v>
      </c>
      <c r="H485" s="235">
        <f t="shared" si="29"/>
        <v>100</v>
      </c>
      <c r="I485" s="111"/>
    </row>
    <row r="486" spans="2:9" ht="16.5" hidden="1" customHeight="1" x14ac:dyDescent="0.25">
      <c r="B486" s="76"/>
      <c r="C486" s="226"/>
      <c r="D486" s="32" t="s">
        <v>506</v>
      </c>
      <c r="E486" s="219">
        <v>555502000</v>
      </c>
      <c r="F486" s="108">
        <v>555502000</v>
      </c>
      <c r="G486" s="235">
        <f t="shared" si="28"/>
        <v>100</v>
      </c>
      <c r="H486" s="235">
        <f t="shared" si="29"/>
        <v>100</v>
      </c>
      <c r="I486" s="111"/>
    </row>
    <row r="487" spans="2:9" ht="16.5" hidden="1" customHeight="1" x14ac:dyDescent="0.25">
      <c r="B487" s="76"/>
      <c r="C487" s="226"/>
      <c r="D487" s="32" t="s">
        <v>507</v>
      </c>
      <c r="E487" s="219">
        <v>655710000</v>
      </c>
      <c r="F487" s="108">
        <v>655710000</v>
      </c>
      <c r="G487" s="235">
        <f t="shared" si="28"/>
        <v>100</v>
      </c>
      <c r="H487" s="235">
        <f t="shared" si="29"/>
        <v>100</v>
      </c>
      <c r="I487" s="111"/>
    </row>
    <row r="488" spans="2:9" ht="16.5" hidden="1" customHeight="1" x14ac:dyDescent="0.25">
      <c r="B488" s="76"/>
      <c r="C488" s="226"/>
      <c r="D488" s="32" t="s">
        <v>508</v>
      </c>
      <c r="E488" s="219">
        <v>208266500</v>
      </c>
      <c r="F488" s="108">
        <v>208266500</v>
      </c>
      <c r="G488" s="235">
        <f t="shared" si="28"/>
        <v>100</v>
      </c>
      <c r="H488" s="235">
        <f t="shared" si="29"/>
        <v>100</v>
      </c>
      <c r="I488" s="111"/>
    </row>
    <row r="489" spans="2:9" ht="16.5" hidden="1" customHeight="1" x14ac:dyDescent="0.25">
      <c r="B489" s="76"/>
      <c r="C489" s="226"/>
      <c r="D489" s="32"/>
      <c r="E489" s="172"/>
      <c r="F489" s="108"/>
      <c r="G489" s="235"/>
      <c r="H489" s="110"/>
      <c r="I489" s="111"/>
    </row>
    <row r="490" spans="2:9" s="115" customFormat="1" ht="16.5" hidden="1" customHeight="1" x14ac:dyDescent="0.25">
      <c r="B490" s="157"/>
      <c r="C490" s="222"/>
      <c r="D490" s="48" t="s">
        <v>509</v>
      </c>
      <c r="E490" s="112">
        <f>E491+E495+E500+E507+E509+E511</f>
        <v>15000000000</v>
      </c>
      <c r="F490" s="220">
        <f>+F491+F495+F500+F507+F509+F511</f>
        <v>14448567371</v>
      </c>
      <c r="G490" s="110">
        <f t="shared" ref="G490:G514" si="30">+F490/E490*100</f>
        <v>96.323782473333324</v>
      </c>
      <c r="H490" s="110">
        <f>(H491+H495+H500+H507+H509+H511)/6</f>
        <v>99.304809187442302</v>
      </c>
      <c r="I490" s="121"/>
    </row>
    <row r="491" spans="2:9" s="115" customFormat="1" ht="16.5" hidden="1" customHeight="1" x14ac:dyDescent="0.25">
      <c r="B491" s="157"/>
      <c r="C491" s="222"/>
      <c r="D491" s="48" t="s">
        <v>486</v>
      </c>
      <c r="E491" s="112">
        <v>639500000</v>
      </c>
      <c r="F491" s="220">
        <f>+F492+F493+F494</f>
        <v>639499000</v>
      </c>
      <c r="G491" s="110">
        <f t="shared" si="30"/>
        <v>99.999843627834252</v>
      </c>
      <c r="H491" s="110">
        <f t="shared" si="29"/>
        <v>99.999843627834252</v>
      </c>
      <c r="I491" s="121"/>
    </row>
    <row r="492" spans="2:9" ht="16.5" hidden="1" customHeight="1" x14ac:dyDescent="0.25">
      <c r="B492" s="76"/>
      <c r="C492" s="226"/>
      <c r="D492" s="32" t="s">
        <v>487</v>
      </c>
      <c r="E492" s="172">
        <v>127500000</v>
      </c>
      <c r="F492" s="221">
        <v>127500000</v>
      </c>
      <c r="G492" s="235">
        <f t="shared" si="30"/>
        <v>100</v>
      </c>
      <c r="H492" s="235">
        <f t="shared" si="29"/>
        <v>100</v>
      </c>
      <c r="I492" s="111"/>
    </row>
    <row r="493" spans="2:9" ht="16.5" hidden="1" customHeight="1" x14ac:dyDescent="0.25">
      <c r="B493" s="76"/>
      <c r="C493" s="226"/>
      <c r="D493" s="32" t="s">
        <v>510</v>
      </c>
      <c r="E493" s="172">
        <v>200000000</v>
      </c>
      <c r="F493" s="221">
        <v>200000000</v>
      </c>
      <c r="G493" s="235">
        <f t="shared" si="30"/>
        <v>100</v>
      </c>
      <c r="H493" s="235">
        <f t="shared" si="29"/>
        <v>100</v>
      </c>
      <c r="I493" s="111"/>
    </row>
    <row r="494" spans="2:9" ht="16.5" hidden="1" customHeight="1" x14ac:dyDescent="0.25">
      <c r="B494" s="76"/>
      <c r="C494" s="226"/>
      <c r="D494" s="32" t="s">
        <v>511</v>
      </c>
      <c r="E494" s="172">
        <v>312000000</v>
      </c>
      <c r="F494" s="221">
        <v>311999000</v>
      </c>
      <c r="G494" s="235">
        <f t="shared" si="30"/>
        <v>99.999679487179478</v>
      </c>
      <c r="H494" s="235">
        <f t="shared" si="29"/>
        <v>99.999679487179478</v>
      </c>
      <c r="I494" s="111"/>
    </row>
    <row r="495" spans="2:9" s="115" customFormat="1" ht="16.5" hidden="1" customHeight="1" x14ac:dyDescent="0.25">
      <c r="B495" s="157"/>
      <c r="C495" s="222"/>
      <c r="D495" s="48" t="s">
        <v>512</v>
      </c>
      <c r="E495" s="112">
        <v>2311497495</v>
      </c>
      <c r="F495" s="220">
        <f>+F496+F497+F498+F499</f>
        <v>2306613907</v>
      </c>
      <c r="G495" s="110">
        <f t="shared" si="30"/>
        <v>99.788726225723209</v>
      </c>
      <c r="H495" s="110">
        <f>SUM((H496:H499))/4</f>
        <v>100</v>
      </c>
      <c r="I495" s="121"/>
    </row>
    <row r="496" spans="2:9" ht="16.5" hidden="1" customHeight="1" x14ac:dyDescent="0.25">
      <c r="B496" s="76"/>
      <c r="C496" s="226"/>
      <c r="D496" s="32" t="s">
        <v>513</v>
      </c>
      <c r="E496" s="172">
        <v>413500000</v>
      </c>
      <c r="F496" s="221">
        <v>411727500</v>
      </c>
      <c r="G496" s="235">
        <f t="shared" si="30"/>
        <v>99.57134220072551</v>
      </c>
      <c r="H496" s="235">
        <v>100</v>
      </c>
      <c r="I496" s="111"/>
    </row>
    <row r="497" spans="2:9" ht="16.5" hidden="1" customHeight="1" x14ac:dyDescent="0.25">
      <c r="B497" s="76"/>
      <c r="C497" s="226"/>
      <c r="D497" s="32" t="s">
        <v>514</v>
      </c>
      <c r="E497" s="172">
        <v>1270547495</v>
      </c>
      <c r="F497" s="221">
        <v>1269404807</v>
      </c>
      <c r="G497" s="235">
        <f t="shared" si="30"/>
        <v>99.910063338482274</v>
      </c>
      <c r="H497" s="235">
        <v>100</v>
      </c>
      <c r="I497" s="111"/>
    </row>
    <row r="498" spans="2:9" ht="16.5" hidden="1" customHeight="1" x14ac:dyDescent="0.25">
      <c r="B498" s="76"/>
      <c r="C498" s="226"/>
      <c r="D498" s="32" t="s">
        <v>515</v>
      </c>
      <c r="E498" s="172">
        <v>240450000</v>
      </c>
      <c r="F498" s="221">
        <v>240268000</v>
      </c>
      <c r="G498" s="235">
        <f t="shared" si="30"/>
        <v>99.924308588064051</v>
      </c>
      <c r="H498" s="235">
        <v>100</v>
      </c>
      <c r="I498" s="111"/>
    </row>
    <row r="499" spans="2:9" ht="30" hidden="1" customHeight="1" x14ac:dyDescent="0.25">
      <c r="B499" s="76"/>
      <c r="C499" s="226"/>
      <c r="D499" s="119" t="s">
        <v>516</v>
      </c>
      <c r="E499" s="172">
        <v>387000000</v>
      </c>
      <c r="F499" s="221">
        <v>385213600</v>
      </c>
      <c r="G499" s="235">
        <f t="shared" si="30"/>
        <v>99.538397932816537</v>
      </c>
      <c r="H499" s="235">
        <v>100</v>
      </c>
      <c r="I499" s="111"/>
    </row>
    <row r="500" spans="2:9" s="115" customFormat="1" ht="16.5" hidden="1" customHeight="1" x14ac:dyDescent="0.25">
      <c r="B500" s="157"/>
      <c r="C500" s="222"/>
      <c r="D500" s="48" t="s">
        <v>517</v>
      </c>
      <c r="E500" s="112">
        <v>9272402505</v>
      </c>
      <c r="F500" s="220">
        <f>SUM(F501:F506)</f>
        <v>8726002364</v>
      </c>
      <c r="G500" s="110">
        <f t="shared" si="30"/>
        <v>94.107243072058594</v>
      </c>
      <c r="H500" s="110">
        <f>SUM((H501:H506))/6</f>
        <v>95.832994444444452</v>
      </c>
      <c r="I500" s="121"/>
    </row>
    <row r="501" spans="2:9" ht="16.5" hidden="1" customHeight="1" x14ac:dyDescent="0.25">
      <c r="B501" s="76"/>
      <c r="C501" s="226"/>
      <c r="D501" s="32" t="s">
        <v>518</v>
      </c>
      <c r="E501" s="172">
        <v>1341000000</v>
      </c>
      <c r="F501" s="221">
        <v>1292552452</v>
      </c>
      <c r="G501" s="235">
        <f t="shared" si="30"/>
        <v>96.387207457121548</v>
      </c>
      <c r="H501" s="235">
        <v>100</v>
      </c>
      <c r="I501" s="111"/>
    </row>
    <row r="502" spans="2:9" ht="16.5" hidden="1" customHeight="1" x14ac:dyDescent="0.25">
      <c r="B502" s="76"/>
      <c r="C502" s="226"/>
      <c r="D502" s="32" t="s">
        <v>519</v>
      </c>
      <c r="E502" s="172">
        <v>1500000000</v>
      </c>
      <c r="F502" s="221">
        <v>1499969500</v>
      </c>
      <c r="G502" s="235">
        <f t="shared" si="30"/>
        <v>99.99796666666667</v>
      </c>
      <c r="H502" s="235">
        <f t="shared" si="29"/>
        <v>99.99796666666667</v>
      </c>
      <c r="I502" s="111"/>
    </row>
    <row r="503" spans="2:9" ht="16.5" hidden="1" customHeight="1" x14ac:dyDescent="0.25">
      <c r="B503" s="76"/>
      <c r="C503" s="226"/>
      <c r="D503" s="32" t="s">
        <v>520</v>
      </c>
      <c r="E503" s="172">
        <v>2164506855</v>
      </c>
      <c r="F503" s="221">
        <v>2089861855</v>
      </c>
      <c r="G503" s="235">
        <f t="shared" si="30"/>
        <v>96.551408473132327</v>
      </c>
      <c r="H503" s="235">
        <v>100</v>
      </c>
      <c r="I503" s="111"/>
    </row>
    <row r="504" spans="2:9" ht="16.5" hidden="1" customHeight="1" x14ac:dyDescent="0.25">
      <c r="B504" s="76"/>
      <c r="C504" s="226"/>
      <c r="D504" s="32" t="s">
        <v>521</v>
      </c>
      <c r="E504" s="172">
        <v>982395650</v>
      </c>
      <c r="F504" s="221">
        <v>808013557</v>
      </c>
      <c r="G504" s="235">
        <f t="shared" si="30"/>
        <v>82.249301185321826</v>
      </c>
      <c r="H504" s="235">
        <v>85</v>
      </c>
      <c r="I504" s="111"/>
    </row>
    <row r="505" spans="2:9" ht="16.5" hidden="1" customHeight="1" x14ac:dyDescent="0.25">
      <c r="B505" s="76"/>
      <c r="C505" s="226"/>
      <c r="D505" s="32" t="s">
        <v>522</v>
      </c>
      <c r="E505" s="172">
        <v>1676800000</v>
      </c>
      <c r="F505" s="221">
        <v>1484387000</v>
      </c>
      <c r="G505" s="235">
        <f t="shared" si="30"/>
        <v>88.524988072519079</v>
      </c>
      <c r="H505" s="235">
        <v>90</v>
      </c>
      <c r="I505" s="111"/>
    </row>
    <row r="506" spans="2:9" ht="16.5" hidden="1" customHeight="1" x14ac:dyDescent="0.25">
      <c r="B506" s="76"/>
      <c r="C506" s="226"/>
      <c r="D506" s="32" t="s">
        <v>523</v>
      </c>
      <c r="E506" s="172">
        <v>1607700000</v>
      </c>
      <c r="F506" s="221">
        <v>1551218000</v>
      </c>
      <c r="G506" s="235">
        <f t="shared" si="30"/>
        <v>96.486782359893013</v>
      </c>
      <c r="H506" s="235">
        <v>100</v>
      </c>
      <c r="I506" s="111"/>
    </row>
    <row r="507" spans="2:9" s="115" customFormat="1" ht="16.5" hidden="1" customHeight="1" x14ac:dyDescent="0.25">
      <c r="B507" s="157"/>
      <c r="C507" s="222"/>
      <c r="D507" s="48" t="s">
        <v>524</v>
      </c>
      <c r="E507" s="112">
        <v>375000000</v>
      </c>
      <c r="F507" s="220">
        <f>+F508</f>
        <v>374884800</v>
      </c>
      <c r="G507" s="110">
        <f t="shared" si="30"/>
        <v>99.969279999999998</v>
      </c>
      <c r="H507" s="110">
        <v>100</v>
      </c>
      <c r="I507" s="121"/>
    </row>
    <row r="508" spans="2:9" ht="16.5" hidden="1" customHeight="1" x14ac:dyDescent="0.25">
      <c r="B508" s="76"/>
      <c r="C508" s="226"/>
      <c r="D508" s="32" t="s">
        <v>525</v>
      </c>
      <c r="E508" s="172">
        <v>375000000</v>
      </c>
      <c r="F508" s="221">
        <v>374884800</v>
      </c>
      <c r="G508" s="235">
        <f t="shared" si="30"/>
        <v>99.969279999999998</v>
      </c>
      <c r="H508" s="235">
        <v>100</v>
      </c>
      <c r="I508" s="111"/>
    </row>
    <row r="509" spans="2:9" s="115" customFormat="1" ht="16.5" hidden="1" customHeight="1" x14ac:dyDescent="0.25">
      <c r="B509" s="157"/>
      <c r="C509" s="222"/>
      <c r="D509" s="48" t="s">
        <v>472</v>
      </c>
      <c r="E509" s="112">
        <v>1580600000</v>
      </c>
      <c r="F509" s="220">
        <f>+F510</f>
        <v>1580600000</v>
      </c>
      <c r="G509" s="110">
        <f t="shared" si="30"/>
        <v>100</v>
      </c>
      <c r="H509" s="110">
        <f t="shared" si="29"/>
        <v>100</v>
      </c>
      <c r="I509" s="121"/>
    </row>
    <row r="510" spans="2:9" ht="16.5" hidden="1" customHeight="1" x14ac:dyDescent="0.25">
      <c r="B510" s="76"/>
      <c r="C510" s="226"/>
      <c r="D510" s="32" t="s">
        <v>505</v>
      </c>
      <c r="E510" s="172">
        <v>1580600000</v>
      </c>
      <c r="F510" s="221">
        <v>1580600000</v>
      </c>
      <c r="G510" s="235">
        <f t="shared" si="30"/>
        <v>100</v>
      </c>
      <c r="H510" s="235">
        <f t="shared" si="29"/>
        <v>100</v>
      </c>
      <c r="I510" s="111"/>
    </row>
    <row r="511" spans="2:9" s="115" customFormat="1" ht="16.5" hidden="1" customHeight="1" x14ac:dyDescent="0.25">
      <c r="B511" s="157"/>
      <c r="C511" s="222"/>
      <c r="D511" s="48" t="s">
        <v>526</v>
      </c>
      <c r="E511" s="112">
        <v>821000000</v>
      </c>
      <c r="F511" s="220">
        <f>+F512+F513+F514</f>
        <v>820967300</v>
      </c>
      <c r="G511" s="110">
        <f t="shared" si="30"/>
        <v>99.996017052375151</v>
      </c>
      <c r="H511" s="110">
        <f t="shared" si="29"/>
        <v>99.996017052375151</v>
      </c>
      <c r="I511" s="121"/>
    </row>
    <row r="512" spans="2:9" ht="16.5" hidden="1" customHeight="1" x14ac:dyDescent="0.25">
      <c r="B512" s="76"/>
      <c r="C512" s="226"/>
      <c r="D512" s="32" t="s">
        <v>527</v>
      </c>
      <c r="E512" s="172">
        <v>257000000</v>
      </c>
      <c r="F512" s="221">
        <v>256999500</v>
      </c>
      <c r="G512" s="235">
        <f t="shared" si="30"/>
        <v>99.99980544747082</v>
      </c>
      <c r="H512" s="235">
        <f t="shared" si="29"/>
        <v>99.99980544747082</v>
      </c>
      <c r="I512" s="111"/>
    </row>
    <row r="513" spans="2:9" ht="18.75" hidden="1" customHeight="1" x14ac:dyDescent="0.25">
      <c r="B513" s="76"/>
      <c r="C513" s="226"/>
      <c r="D513" s="119" t="s">
        <v>528</v>
      </c>
      <c r="E513" s="172">
        <v>279000000</v>
      </c>
      <c r="F513" s="221">
        <v>278969300</v>
      </c>
      <c r="G513" s="235">
        <f t="shared" si="30"/>
        <v>99.988996415770615</v>
      </c>
      <c r="H513" s="235">
        <v>100</v>
      </c>
      <c r="I513" s="111"/>
    </row>
    <row r="514" spans="2:9" ht="16.5" hidden="1" customHeight="1" x14ac:dyDescent="0.25">
      <c r="B514" s="76"/>
      <c r="C514" s="226"/>
      <c r="D514" s="32" t="s">
        <v>529</v>
      </c>
      <c r="E514" s="172">
        <v>285000000</v>
      </c>
      <c r="F514" s="221">
        <v>284998500</v>
      </c>
      <c r="G514" s="235">
        <f t="shared" si="30"/>
        <v>99.999473684210528</v>
      </c>
      <c r="H514" s="235">
        <f t="shared" si="29"/>
        <v>99.999473684210528</v>
      </c>
      <c r="I514" s="111"/>
    </row>
    <row r="515" spans="2:9" ht="16.5" hidden="1" customHeight="1" x14ac:dyDescent="0.25">
      <c r="B515" s="76"/>
      <c r="C515" s="226"/>
      <c r="D515" s="32"/>
      <c r="E515" s="172"/>
      <c r="F515" s="108"/>
      <c r="G515" s="235"/>
      <c r="H515" s="110"/>
      <c r="I515" s="111"/>
    </row>
    <row r="516" spans="2:9" s="115" customFormat="1" ht="16.5" hidden="1" customHeight="1" x14ac:dyDescent="0.25">
      <c r="B516" s="157"/>
      <c r="C516" s="222"/>
      <c r="D516" s="223" t="s">
        <v>530</v>
      </c>
      <c r="E516" s="224">
        <f>+E517+E522+E526+E528+E530+E534</f>
        <v>5000000000</v>
      </c>
      <c r="F516" s="220">
        <f>+F517+F522+F526+F528+F530+F534</f>
        <v>4789186133</v>
      </c>
      <c r="G516" s="110">
        <f t="shared" ref="G516:G535" si="31">+F516/E516*100</f>
        <v>95.783722660000009</v>
      </c>
      <c r="H516" s="110">
        <f>(H517+H522+H526+H528+H530+H534)/6</f>
        <v>98.333333333333329</v>
      </c>
      <c r="I516" s="121"/>
    </row>
    <row r="517" spans="2:9" s="115" customFormat="1" ht="16.5" hidden="1" customHeight="1" x14ac:dyDescent="0.25">
      <c r="B517" s="157"/>
      <c r="C517" s="222"/>
      <c r="D517" s="225" t="s">
        <v>531</v>
      </c>
      <c r="E517" s="224">
        <f>+E518+E519+E520+E521</f>
        <v>1462700000</v>
      </c>
      <c r="F517" s="220">
        <f>+F518+F519+F520+F521</f>
        <v>1361577165</v>
      </c>
      <c r="G517" s="110">
        <f t="shared" si="31"/>
        <v>93.086563546865392</v>
      </c>
      <c r="H517" s="110">
        <f>SUM((H518:H521))/4</f>
        <v>95</v>
      </c>
      <c r="I517" s="121"/>
    </row>
    <row r="518" spans="2:9" ht="16.5" hidden="1" customHeight="1" x14ac:dyDescent="0.25">
      <c r="B518" s="76"/>
      <c r="C518" s="226"/>
      <c r="D518" s="227" t="s">
        <v>532</v>
      </c>
      <c r="E518" s="228">
        <v>162700000</v>
      </c>
      <c r="F518" s="221">
        <v>154327500</v>
      </c>
      <c r="G518" s="235">
        <f t="shared" si="31"/>
        <v>94.854025814382297</v>
      </c>
      <c r="H518" s="235">
        <v>95</v>
      </c>
      <c r="I518" s="111"/>
    </row>
    <row r="519" spans="2:9" ht="16.5" hidden="1" customHeight="1" x14ac:dyDescent="0.25">
      <c r="B519" s="76"/>
      <c r="C519" s="226"/>
      <c r="D519" s="227" t="s">
        <v>533</v>
      </c>
      <c r="E519" s="228">
        <v>450000000</v>
      </c>
      <c r="F519" s="221">
        <v>422831665</v>
      </c>
      <c r="G519" s="235">
        <f t="shared" si="31"/>
        <v>93.962592222222213</v>
      </c>
      <c r="H519" s="235">
        <v>95</v>
      </c>
      <c r="I519" s="111"/>
    </row>
    <row r="520" spans="2:9" ht="16.5" hidden="1" customHeight="1" x14ac:dyDescent="0.25">
      <c r="B520" s="76"/>
      <c r="C520" s="226"/>
      <c r="D520" s="227" t="s">
        <v>534</v>
      </c>
      <c r="E520" s="228">
        <v>400000000</v>
      </c>
      <c r="F520" s="221">
        <v>394600000</v>
      </c>
      <c r="G520" s="235">
        <f t="shared" si="31"/>
        <v>98.65</v>
      </c>
      <c r="H520" s="235">
        <v>100</v>
      </c>
      <c r="I520" s="111"/>
    </row>
    <row r="521" spans="2:9" ht="16.5" hidden="1" customHeight="1" x14ac:dyDescent="0.25">
      <c r="B521" s="76"/>
      <c r="C521" s="226"/>
      <c r="D521" s="227" t="s">
        <v>535</v>
      </c>
      <c r="E521" s="228">
        <v>450000000</v>
      </c>
      <c r="F521" s="221">
        <v>389818000</v>
      </c>
      <c r="G521" s="235">
        <f t="shared" si="31"/>
        <v>86.626222222222225</v>
      </c>
      <c r="H521" s="235">
        <v>90</v>
      </c>
      <c r="I521" s="111"/>
    </row>
    <row r="522" spans="2:9" s="115" customFormat="1" ht="16.5" hidden="1" customHeight="1" x14ac:dyDescent="0.25">
      <c r="B522" s="157"/>
      <c r="C522" s="222"/>
      <c r="D522" s="225" t="s">
        <v>536</v>
      </c>
      <c r="E522" s="224">
        <f>+E523+E524+E525</f>
        <v>1000000000</v>
      </c>
      <c r="F522" s="220">
        <f>+F523+F524+F525</f>
        <v>973158568</v>
      </c>
      <c r="G522" s="110">
        <f t="shared" si="31"/>
        <v>97.315856800000006</v>
      </c>
      <c r="H522" s="110">
        <f>SUM((H523:H525))/3</f>
        <v>100</v>
      </c>
      <c r="I522" s="121"/>
    </row>
    <row r="523" spans="2:9" ht="16.5" hidden="1" customHeight="1" x14ac:dyDescent="0.25">
      <c r="B523" s="76"/>
      <c r="C523" s="226"/>
      <c r="D523" s="227" t="s">
        <v>537</v>
      </c>
      <c r="E523" s="228">
        <v>300000000</v>
      </c>
      <c r="F523" s="221">
        <v>297972502</v>
      </c>
      <c r="G523" s="235">
        <f t="shared" si="31"/>
        <v>99.324167333333335</v>
      </c>
      <c r="H523" s="235">
        <v>100</v>
      </c>
      <c r="I523" s="111"/>
    </row>
    <row r="524" spans="2:9" ht="16.5" hidden="1" customHeight="1" x14ac:dyDescent="0.25">
      <c r="B524" s="76"/>
      <c r="C524" s="226"/>
      <c r="D524" s="227" t="s">
        <v>538</v>
      </c>
      <c r="E524" s="228">
        <v>200000000</v>
      </c>
      <c r="F524" s="221">
        <v>196261066</v>
      </c>
      <c r="G524" s="235">
        <f t="shared" si="31"/>
        <v>98.130533</v>
      </c>
      <c r="H524" s="235">
        <v>100</v>
      </c>
      <c r="I524" s="111"/>
    </row>
    <row r="525" spans="2:9" ht="16.5" hidden="1" customHeight="1" x14ac:dyDescent="0.25">
      <c r="B525" s="76"/>
      <c r="C525" s="226"/>
      <c r="D525" s="227" t="s">
        <v>539</v>
      </c>
      <c r="E525" s="228">
        <v>500000000</v>
      </c>
      <c r="F525" s="221">
        <v>478925000</v>
      </c>
      <c r="G525" s="235">
        <f t="shared" si="31"/>
        <v>95.784999999999997</v>
      </c>
      <c r="H525" s="235">
        <v>100</v>
      </c>
      <c r="I525" s="111"/>
    </row>
    <row r="526" spans="2:9" s="115" customFormat="1" ht="16.5" hidden="1" customHeight="1" x14ac:dyDescent="0.25">
      <c r="B526" s="157"/>
      <c r="C526" s="222"/>
      <c r="D526" s="225" t="s">
        <v>540</v>
      </c>
      <c r="E526" s="224">
        <f>+E527</f>
        <v>1000000000</v>
      </c>
      <c r="F526" s="220">
        <f>+F527</f>
        <v>985150000</v>
      </c>
      <c r="G526" s="110">
        <f t="shared" si="31"/>
        <v>98.515000000000001</v>
      </c>
      <c r="H526" s="110">
        <v>100</v>
      </c>
      <c r="I526" s="121"/>
    </row>
    <row r="527" spans="2:9" ht="16.5" hidden="1" customHeight="1" x14ac:dyDescent="0.25">
      <c r="B527" s="76"/>
      <c r="C527" s="226"/>
      <c r="D527" s="227" t="s">
        <v>541</v>
      </c>
      <c r="E527" s="228">
        <v>1000000000</v>
      </c>
      <c r="F527" s="221">
        <v>985150000</v>
      </c>
      <c r="G527" s="235">
        <f t="shared" si="31"/>
        <v>98.515000000000001</v>
      </c>
      <c r="H527" s="235">
        <v>100</v>
      </c>
      <c r="I527" s="111"/>
    </row>
    <row r="528" spans="2:9" s="115" customFormat="1" ht="16.5" hidden="1" customHeight="1" x14ac:dyDescent="0.25">
      <c r="B528" s="157"/>
      <c r="C528" s="222"/>
      <c r="D528" s="225" t="s">
        <v>542</v>
      </c>
      <c r="E528" s="224">
        <f>+E529</f>
        <v>350000000</v>
      </c>
      <c r="F528" s="220">
        <f>+F529</f>
        <v>338911400</v>
      </c>
      <c r="G528" s="110">
        <f t="shared" si="31"/>
        <v>96.831828571428574</v>
      </c>
      <c r="H528" s="110">
        <v>100</v>
      </c>
      <c r="I528" s="121"/>
    </row>
    <row r="529" spans="2:9" ht="16.5" hidden="1" customHeight="1" x14ac:dyDescent="0.25">
      <c r="B529" s="76"/>
      <c r="C529" s="226"/>
      <c r="D529" s="227" t="s">
        <v>505</v>
      </c>
      <c r="E529" s="228">
        <v>350000000</v>
      </c>
      <c r="F529" s="221">
        <v>338911400</v>
      </c>
      <c r="G529" s="235">
        <f t="shared" si="31"/>
        <v>96.831828571428574</v>
      </c>
      <c r="H529" s="235">
        <v>100</v>
      </c>
      <c r="I529" s="111"/>
    </row>
    <row r="530" spans="2:9" s="115" customFormat="1" ht="16.5" hidden="1" customHeight="1" x14ac:dyDescent="0.25">
      <c r="B530" s="157"/>
      <c r="C530" s="222"/>
      <c r="D530" s="225" t="s">
        <v>543</v>
      </c>
      <c r="E530" s="224">
        <f>+E531+E532+E533</f>
        <v>687300000</v>
      </c>
      <c r="F530" s="220">
        <f>+F531+F532+F533</f>
        <v>639812000</v>
      </c>
      <c r="G530" s="110">
        <f t="shared" si="31"/>
        <v>93.090644551142148</v>
      </c>
      <c r="H530" s="110">
        <f>SUM((H531:H533))/3</f>
        <v>95</v>
      </c>
      <c r="I530" s="121"/>
    </row>
    <row r="531" spans="2:9" ht="16.5" hidden="1" customHeight="1" x14ac:dyDescent="0.25">
      <c r="B531" s="76"/>
      <c r="C531" s="226"/>
      <c r="D531" s="227" t="s">
        <v>544</v>
      </c>
      <c r="E531" s="228">
        <v>200400000</v>
      </c>
      <c r="F531" s="221">
        <v>200400000</v>
      </c>
      <c r="G531" s="235">
        <f t="shared" si="31"/>
        <v>100</v>
      </c>
      <c r="H531" s="235">
        <f t="shared" ref="H531:H548" si="32">+G531</f>
        <v>100</v>
      </c>
      <c r="I531" s="111"/>
    </row>
    <row r="532" spans="2:9" ht="16.5" hidden="1" customHeight="1" x14ac:dyDescent="0.25">
      <c r="B532" s="76"/>
      <c r="C532" s="226"/>
      <c r="D532" s="227" t="s">
        <v>545</v>
      </c>
      <c r="E532" s="228">
        <v>237300000</v>
      </c>
      <c r="F532" s="221">
        <v>196127000</v>
      </c>
      <c r="G532" s="235">
        <f t="shared" si="31"/>
        <v>82.64938895912347</v>
      </c>
      <c r="H532" s="235">
        <v>85</v>
      </c>
      <c r="I532" s="111"/>
    </row>
    <row r="533" spans="2:9" ht="16.5" hidden="1" customHeight="1" x14ac:dyDescent="0.25">
      <c r="B533" s="76"/>
      <c r="C533" s="226"/>
      <c r="D533" s="227" t="s">
        <v>546</v>
      </c>
      <c r="E533" s="228">
        <v>249600000</v>
      </c>
      <c r="F533" s="221">
        <v>243285000</v>
      </c>
      <c r="G533" s="235">
        <f t="shared" si="31"/>
        <v>97.46995192307692</v>
      </c>
      <c r="H533" s="235">
        <v>100</v>
      </c>
      <c r="I533" s="111"/>
    </row>
    <row r="534" spans="2:9" s="115" customFormat="1" ht="16.5" hidden="1" customHeight="1" x14ac:dyDescent="0.25">
      <c r="B534" s="157"/>
      <c r="C534" s="222"/>
      <c r="D534" s="225" t="s">
        <v>547</v>
      </c>
      <c r="E534" s="224">
        <f>+E535</f>
        <v>500000000</v>
      </c>
      <c r="F534" s="220">
        <f>+F535</f>
        <v>490577000</v>
      </c>
      <c r="G534" s="110">
        <f t="shared" si="31"/>
        <v>98.115399999999994</v>
      </c>
      <c r="H534" s="110">
        <v>100</v>
      </c>
      <c r="I534" s="121"/>
    </row>
    <row r="535" spans="2:9" ht="16.5" hidden="1" customHeight="1" x14ac:dyDescent="0.25">
      <c r="B535" s="76"/>
      <c r="C535" s="226"/>
      <c r="D535" s="227" t="s">
        <v>548</v>
      </c>
      <c r="E535" s="228">
        <v>500000000</v>
      </c>
      <c r="F535" s="221">
        <v>490577000</v>
      </c>
      <c r="G535" s="235">
        <f t="shared" si="31"/>
        <v>98.115399999999994</v>
      </c>
      <c r="H535" s="235">
        <v>100</v>
      </c>
      <c r="I535" s="111"/>
    </row>
    <row r="536" spans="2:9" ht="16.5" hidden="1" customHeight="1" x14ac:dyDescent="0.25">
      <c r="B536" s="76"/>
      <c r="C536" s="226"/>
      <c r="D536" s="32"/>
      <c r="E536" s="228"/>
      <c r="F536" s="108"/>
      <c r="G536" s="235"/>
      <c r="H536" s="110"/>
      <c r="I536" s="111"/>
    </row>
    <row r="537" spans="2:9" s="115" customFormat="1" ht="16.5" hidden="1" customHeight="1" x14ac:dyDescent="0.25">
      <c r="B537" s="157"/>
      <c r="C537" s="222"/>
      <c r="D537" s="229" t="s">
        <v>549</v>
      </c>
      <c r="E537" s="230">
        <f>+E538+E540+E545+E549+E552</f>
        <v>5640281159</v>
      </c>
      <c r="F537" s="220">
        <v>5024113600</v>
      </c>
      <c r="G537" s="110">
        <f t="shared" ref="G537:G553" si="33">+F537/E537*100</f>
        <v>89.075587871771205</v>
      </c>
      <c r="H537" s="110">
        <f>(H538+H540+H545+H549+H552)/5</f>
        <v>94.999966666666666</v>
      </c>
      <c r="I537" s="121"/>
    </row>
    <row r="538" spans="2:9" s="115" customFormat="1" ht="16.5" hidden="1" customHeight="1" x14ac:dyDescent="0.25">
      <c r="B538" s="157"/>
      <c r="C538" s="222"/>
      <c r="D538" s="231" t="s">
        <v>550</v>
      </c>
      <c r="E538" s="230">
        <f>+E539</f>
        <v>150000000</v>
      </c>
      <c r="F538" s="220">
        <f>+F539</f>
        <v>149866500</v>
      </c>
      <c r="G538" s="235">
        <f t="shared" si="33"/>
        <v>99.911000000000001</v>
      </c>
      <c r="H538" s="110">
        <v>100</v>
      </c>
      <c r="I538" s="121"/>
    </row>
    <row r="539" spans="2:9" ht="18.75" hidden="1" customHeight="1" x14ac:dyDescent="0.25">
      <c r="B539" s="76"/>
      <c r="C539" s="226"/>
      <c r="D539" s="232" t="s">
        <v>551</v>
      </c>
      <c r="E539" s="233">
        <v>150000000</v>
      </c>
      <c r="F539" s="221">
        <v>149866500</v>
      </c>
      <c r="G539" s="235">
        <f t="shared" si="33"/>
        <v>99.911000000000001</v>
      </c>
      <c r="H539" s="235">
        <v>100</v>
      </c>
      <c r="I539" s="111"/>
    </row>
    <row r="540" spans="2:9" s="115" customFormat="1" ht="16.5" hidden="1" customHeight="1" x14ac:dyDescent="0.25">
      <c r="B540" s="157"/>
      <c r="C540" s="222"/>
      <c r="D540" s="231" t="s">
        <v>552</v>
      </c>
      <c r="E540" s="230">
        <f>+E541+E542+E543+E544</f>
        <v>2000000000</v>
      </c>
      <c r="F540" s="220">
        <f>+F541+F542+F543+F544</f>
        <v>1529937150</v>
      </c>
      <c r="G540" s="110">
        <f t="shared" si="33"/>
        <v>76.496857500000004</v>
      </c>
      <c r="H540" s="110">
        <f>SUM((H541:H544))/4</f>
        <v>85</v>
      </c>
      <c r="I540" s="121"/>
    </row>
    <row r="541" spans="2:9" ht="16.5" hidden="1" customHeight="1" x14ac:dyDescent="0.25">
      <c r="B541" s="76"/>
      <c r="C541" s="226"/>
      <c r="D541" s="232" t="s">
        <v>553</v>
      </c>
      <c r="E541" s="233">
        <v>344850000</v>
      </c>
      <c r="F541" s="221">
        <v>344157000</v>
      </c>
      <c r="G541" s="235">
        <f t="shared" si="33"/>
        <v>99.799043062200951</v>
      </c>
      <c r="H541" s="235">
        <v>100</v>
      </c>
      <c r="I541" s="111"/>
    </row>
    <row r="542" spans="2:9" ht="16.5" hidden="1" customHeight="1" x14ac:dyDescent="0.25">
      <c r="B542" s="76"/>
      <c r="C542" s="226"/>
      <c r="D542" s="232" t="s">
        <v>554</v>
      </c>
      <c r="E542" s="233">
        <v>472925000</v>
      </c>
      <c r="F542" s="221">
        <v>417060150</v>
      </c>
      <c r="G542" s="235">
        <f t="shared" si="33"/>
        <v>88.187376433895437</v>
      </c>
      <c r="H542" s="235">
        <v>90</v>
      </c>
      <c r="I542" s="111"/>
    </row>
    <row r="543" spans="2:9" ht="16.5" hidden="1" customHeight="1" x14ac:dyDescent="0.25">
      <c r="B543" s="76"/>
      <c r="C543" s="226"/>
      <c r="D543" s="232" t="s">
        <v>555</v>
      </c>
      <c r="E543" s="233">
        <v>458130000</v>
      </c>
      <c r="F543" s="221">
        <v>455800000</v>
      </c>
      <c r="G543" s="235">
        <f t="shared" si="33"/>
        <v>99.491410734944225</v>
      </c>
      <c r="H543" s="235">
        <v>100</v>
      </c>
      <c r="I543" s="111"/>
    </row>
    <row r="544" spans="2:9" ht="16.5" hidden="1" customHeight="1" x14ac:dyDescent="0.25">
      <c r="B544" s="76"/>
      <c r="C544" s="226"/>
      <c r="D544" s="232" t="s">
        <v>556</v>
      </c>
      <c r="E544" s="233">
        <v>724095000</v>
      </c>
      <c r="F544" s="221">
        <v>312920000</v>
      </c>
      <c r="G544" s="235">
        <f t="shared" si="33"/>
        <v>43.21532395611073</v>
      </c>
      <c r="H544" s="235">
        <v>50</v>
      </c>
      <c r="I544" s="111"/>
    </row>
    <row r="545" spans="2:9" s="115" customFormat="1" ht="16.5" hidden="1" customHeight="1" x14ac:dyDescent="0.25">
      <c r="B545" s="157"/>
      <c r="C545" s="222"/>
      <c r="D545" s="231" t="s">
        <v>557</v>
      </c>
      <c r="E545" s="230">
        <f>+E546+E547+E548</f>
        <v>992681159</v>
      </c>
      <c r="F545" s="220">
        <f>+F546+F547+F548</f>
        <v>992165000</v>
      </c>
      <c r="G545" s="110">
        <f t="shared" si="33"/>
        <v>99.948003546222239</v>
      </c>
      <c r="H545" s="110">
        <f>SUM((H546:H548))/3</f>
        <v>99.999833333333342</v>
      </c>
      <c r="I545" s="121"/>
    </row>
    <row r="546" spans="2:9" ht="16.5" hidden="1" customHeight="1" x14ac:dyDescent="0.25">
      <c r="B546" s="76"/>
      <c r="C546" s="226"/>
      <c r="D546" s="232" t="s">
        <v>558</v>
      </c>
      <c r="E546" s="233">
        <v>143000000</v>
      </c>
      <c r="F546" s="221">
        <v>142990000</v>
      </c>
      <c r="G546" s="235">
        <f t="shared" si="33"/>
        <v>99.993006993007</v>
      </c>
      <c r="H546" s="235">
        <v>100</v>
      </c>
      <c r="I546" s="111"/>
    </row>
    <row r="547" spans="2:9" ht="28.5" hidden="1" customHeight="1" x14ac:dyDescent="0.25">
      <c r="B547" s="76"/>
      <c r="C547" s="226"/>
      <c r="D547" s="232" t="s">
        <v>559</v>
      </c>
      <c r="E547" s="233">
        <v>649681159</v>
      </c>
      <c r="F547" s="221">
        <v>649176000</v>
      </c>
      <c r="G547" s="235">
        <f t="shared" si="33"/>
        <v>99.922245090071954</v>
      </c>
      <c r="H547" s="110">
        <v>100</v>
      </c>
      <c r="I547" s="111"/>
    </row>
    <row r="548" spans="2:9" ht="16.5" hidden="1" customHeight="1" x14ac:dyDescent="0.25">
      <c r="B548" s="76"/>
      <c r="C548" s="226"/>
      <c r="D548" s="232" t="s">
        <v>560</v>
      </c>
      <c r="E548" s="233">
        <v>200000000</v>
      </c>
      <c r="F548" s="221">
        <v>199999000</v>
      </c>
      <c r="G548" s="235">
        <f t="shared" si="33"/>
        <v>99.999499999999998</v>
      </c>
      <c r="H548" s="110">
        <f t="shared" si="32"/>
        <v>99.999499999999998</v>
      </c>
      <c r="I548" s="111"/>
    </row>
    <row r="549" spans="2:9" s="115" customFormat="1" ht="16.5" hidden="1" customHeight="1" x14ac:dyDescent="0.25">
      <c r="B549" s="157"/>
      <c r="C549" s="222"/>
      <c r="D549" s="231" t="s">
        <v>561</v>
      </c>
      <c r="E549" s="230">
        <f>+E550+E551</f>
        <v>2097600000</v>
      </c>
      <c r="F549" s="220">
        <f>+F550+F551</f>
        <v>1983066150</v>
      </c>
      <c r="G549" s="110">
        <f t="shared" si="33"/>
        <v>94.539766876430207</v>
      </c>
      <c r="H549" s="110">
        <f>SUM((H550:H551))/2</f>
        <v>95</v>
      </c>
      <c r="I549" s="121"/>
    </row>
    <row r="550" spans="2:9" ht="16.5" hidden="1" customHeight="1" x14ac:dyDescent="0.25">
      <c r="B550" s="76"/>
      <c r="C550" s="226"/>
      <c r="D550" s="232" t="s">
        <v>562</v>
      </c>
      <c r="E550" s="233">
        <v>992958750</v>
      </c>
      <c r="F550" s="221">
        <v>885099950</v>
      </c>
      <c r="G550" s="235">
        <f t="shared" si="33"/>
        <v>89.137635375084812</v>
      </c>
      <c r="H550" s="235">
        <v>90</v>
      </c>
      <c r="I550" s="111"/>
    </row>
    <row r="551" spans="2:9" ht="16.5" hidden="1" customHeight="1" x14ac:dyDescent="0.25">
      <c r="B551" s="76"/>
      <c r="C551" s="226"/>
      <c r="D551" s="232" t="s">
        <v>563</v>
      </c>
      <c r="E551" s="233">
        <v>1104641250</v>
      </c>
      <c r="F551" s="221">
        <v>1097966200</v>
      </c>
      <c r="G551" s="235">
        <f t="shared" si="33"/>
        <v>99.395726893233444</v>
      </c>
      <c r="H551" s="235">
        <v>100</v>
      </c>
      <c r="I551" s="111"/>
    </row>
    <row r="552" spans="2:9" s="115" customFormat="1" ht="16.5" hidden="1" customHeight="1" x14ac:dyDescent="0.25">
      <c r="B552" s="157"/>
      <c r="C552" s="222"/>
      <c r="D552" s="231" t="s">
        <v>564</v>
      </c>
      <c r="E552" s="230">
        <f>+E553</f>
        <v>400000000</v>
      </c>
      <c r="F552" s="220">
        <f>+F553</f>
        <v>369078800</v>
      </c>
      <c r="G552" s="110">
        <f t="shared" si="33"/>
        <v>92.2697</v>
      </c>
      <c r="H552" s="110">
        <v>95</v>
      </c>
      <c r="I552" s="121"/>
    </row>
    <row r="553" spans="2:9" ht="16.5" hidden="1" customHeight="1" x14ac:dyDescent="0.25">
      <c r="B553" s="76"/>
      <c r="C553" s="226"/>
      <c r="D553" s="232" t="s">
        <v>565</v>
      </c>
      <c r="E553" s="233">
        <v>400000000</v>
      </c>
      <c r="F553" s="221">
        <v>369078800</v>
      </c>
      <c r="G553" s="235">
        <f t="shared" si="33"/>
        <v>92.2697</v>
      </c>
      <c r="H553" s="235">
        <v>95</v>
      </c>
      <c r="I553" s="111"/>
    </row>
    <row r="554" spans="2:9" ht="16.5" hidden="1" customHeight="1" x14ac:dyDescent="0.25">
      <c r="B554" s="76"/>
      <c r="C554" s="226"/>
      <c r="D554" s="32"/>
      <c r="E554" s="172"/>
      <c r="F554" s="108"/>
      <c r="G554" s="235"/>
      <c r="H554" s="110"/>
      <c r="I554" s="111"/>
    </row>
    <row r="555" spans="2:9" s="115" customFormat="1" ht="16.5" hidden="1" customHeight="1" x14ac:dyDescent="0.25">
      <c r="B555" s="157"/>
      <c r="C555" s="222"/>
      <c r="D555" s="48" t="s">
        <v>566</v>
      </c>
      <c r="E555" s="218">
        <f>+E556</f>
        <v>34556354000</v>
      </c>
      <c r="F555" s="220">
        <f>+F556</f>
        <v>33120283395.200001</v>
      </c>
      <c r="G555" s="110">
        <f t="shared" ref="G555:G564" si="34">+F555/E555*100</f>
        <v>95.844264690655734</v>
      </c>
      <c r="H555" s="110">
        <f>H556</f>
        <v>97.5</v>
      </c>
      <c r="I555" s="121"/>
    </row>
    <row r="556" spans="2:9" s="115" customFormat="1" ht="16.5" hidden="1" customHeight="1" x14ac:dyDescent="0.25">
      <c r="B556" s="157"/>
      <c r="C556" s="222"/>
      <c r="D556" s="48" t="s">
        <v>567</v>
      </c>
      <c r="E556" s="218">
        <f>SUM(E557:E564)</f>
        <v>34556354000</v>
      </c>
      <c r="F556" s="220">
        <f>SUM(F557:F564)</f>
        <v>33120283395.200001</v>
      </c>
      <c r="G556" s="110">
        <f t="shared" si="34"/>
        <v>95.844264690655734</v>
      </c>
      <c r="H556" s="110">
        <f>SUM((H557:H564))/8</f>
        <v>97.5</v>
      </c>
      <c r="I556" s="121"/>
    </row>
    <row r="557" spans="2:9" s="163" customFormat="1" ht="42" hidden="1" customHeight="1" x14ac:dyDescent="0.25">
      <c r="B557" s="83"/>
      <c r="C557" s="234"/>
      <c r="D557" s="119" t="s">
        <v>568</v>
      </c>
      <c r="E557" s="219">
        <v>4662000000</v>
      </c>
      <c r="F557" s="221">
        <v>3815785243</v>
      </c>
      <c r="G557" s="235">
        <f t="shared" si="34"/>
        <v>81.848675311025303</v>
      </c>
      <c r="H557" s="235">
        <v>90</v>
      </c>
      <c r="I557" s="32"/>
    </row>
    <row r="558" spans="2:9" s="163" customFormat="1" ht="41.25" hidden="1" customHeight="1" x14ac:dyDescent="0.25">
      <c r="B558" s="83"/>
      <c r="C558" s="234"/>
      <c r="D558" s="119" t="s">
        <v>569</v>
      </c>
      <c r="E558" s="219">
        <v>4820000000</v>
      </c>
      <c r="F558" s="221">
        <v>4816401000</v>
      </c>
      <c r="G558" s="235">
        <f t="shared" si="34"/>
        <v>99.925331950207479</v>
      </c>
      <c r="H558" s="235">
        <v>100</v>
      </c>
      <c r="I558" s="32"/>
    </row>
    <row r="559" spans="2:9" s="163" customFormat="1" ht="38.25" hidden="1" customHeight="1" x14ac:dyDescent="0.25">
      <c r="B559" s="83"/>
      <c r="C559" s="234"/>
      <c r="D559" s="119" t="s">
        <v>570</v>
      </c>
      <c r="E559" s="219">
        <v>2850000000</v>
      </c>
      <c r="F559" s="221">
        <v>2697370079</v>
      </c>
      <c r="G559" s="235">
        <f t="shared" si="34"/>
        <v>94.644564175438589</v>
      </c>
      <c r="H559" s="235">
        <v>95</v>
      </c>
      <c r="I559" s="32"/>
    </row>
    <row r="560" spans="2:9" s="163" customFormat="1" ht="33" hidden="1" customHeight="1" x14ac:dyDescent="0.25">
      <c r="B560" s="83"/>
      <c r="C560" s="234"/>
      <c r="D560" s="119" t="s">
        <v>571</v>
      </c>
      <c r="E560" s="219">
        <v>5020000000</v>
      </c>
      <c r="F560" s="221">
        <v>4907967000</v>
      </c>
      <c r="G560" s="235">
        <f t="shared" si="34"/>
        <v>97.768266932270919</v>
      </c>
      <c r="H560" s="235">
        <v>100</v>
      </c>
      <c r="I560" s="32"/>
    </row>
    <row r="561" spans="2:9" s="163" customFormat="1" ht="33" hidden="1" customHeight="1" x14ac:dyDescent="0.25">
      <c r="B561" s="83"/>
      <c r="C561" s="234"/>
      <c r="D561" s="119" t="s">
        <v>572</v>
      </c>
      <c r="E561" s="219">
        <v>4890000000</v>
      </c>
      <c r="F561" s="221">
        <v>4594110682.1999998</v>
      </c>
      <c r="G561" s="235">
        <f t="shared" si="34"/>
        <v>93.949093705521463</v>
      </c>
      <c r="H561" s="235">
        <v>95</v>
      </c>
      <c r="I561" s="32"/>
    </row>
    <row r="562" spans="2:9" s="163" customFormat="1" ht="33" hidden="1" customHeight="1" x14ac:dyDescent="0.25">
      <c r="B562" s="83"/>
      <c r="C562" s="234"/>
      <c r="D562" s="119" t="s">
        <v>573</v>
      </c>
      <c r="E562" s="219">
        <v>3310000000</v>
      </c>
      <c r="F562" s="221">
        <v>3300940000</v>
      </c>
      <c r="G562" s="235">
        <f t="shared" si="34"/>
        <v>99.726283987915409</v>
      </c>
      <c r="H562" s="235">
        <v>100</v>
      </c>
      <c r="I562" s="32"/>
    </row>
    <row r="563" spans="2:9" s="163" customFormat="1" ht="33" hidden="1" customHeight="1" x14ac:dyDescent="0.25">
      <c r="B563" s="83"/>
      <c r="C563" s="234"/>
      <c r="D563" s="119" t="s">
        <v>574</v>
      </c>
      <c r="E563" s="219">
        <v>5000000000</v>
      </c>
      <c r="F563" s="221">
        <v>4997686000</v>
      </c>
      <c r="G563" s="235">
        <f t="shared" si="34"/>
        <v>99.953720000000004</v>
      </c>
      <c r="H563" s="235">
        <v>100</v>
      </c>
      <c r="I563" s="32"/>
    </row>
    <row r="564" spans="2:9" ht="16.5" hidden="1" customHeight="1" x14ac:dyDescent="0.25">
      <c r="B564" s="76"/>
      <c r="C564" s="226"/>
      <c r="D564" s="32" t="s">
        <v>575</v>
      </c>
      <c r="E564" s="219">
        <v>4004354000</v>
      </c>
      <c r="F564" s="221">
        <v>3990023391</v>
      </c>
      <c r="G564" s="235">
        <f t="shared" si="34"/>
        <v>99.642124322674761</v>
      </c>
      <c r="H564" s="235">
        <v>100</v>
      </c>
      <c r="I564" s="111"/>
    </row>
    <row r="565" spans="2:9" ht="16.5" hidden="1" customHeight="1" x14ac:dyDescent="0.25">
      <c r="B565" s="76"/>
      <c r="C565" s="226"/>
      <c r="D565" s="32"/>
      <c r="E565" s="172"/>
      <c r="F565" s="108"/>
      <c r="G565" s="235"/>
      <c r="H565" s="110"/>
      <c r="I565" s="111"/>
    </row>
    <row r="566" spans="2:9" s="115" customFormat="1" ht="16.5" hidden="1" customHeight="1" x14ac:dyDescent="0.25">
      <c r="B566" s="157"/>
      <c r="C566" s="222"/>
      <c r="D566" s="48" t="s">
        <v>576</v>
      </c>
      <c r="E566" s="218">
        <v>19273400000</v>
      </c>
      <c r="F566" s="113">
        <v>19242254875</v>
      </c>
      <c r="G566" s="110">
        <f>+F566/E566*100</f>
        <v>99.838403576950611</v>
      </c>
      <c r="H566" s="110">
        <f>H567</f>
        <v>100</v>
      </c>
      <c r="I566" s="121"/>
    </row>
    <row r="567" spans="2:9" s="115" customFormat="1" ht="16.5" hidden="1" customHeight="1" x14ac:dyDescent="0.25">
      <c r="B567" s="157"/>
      <c r="C567" s="222"/>
      <c r="D567" s="225" t="s">
        <v>577</v>
      </c>
      <c r="E567" s="224">
        <v>19273400000</v>
      </c>
      <c r="F567" s="224">
        <v>19242254875</v>
      </c>
      <c r="G567" s="110">
        <f>+F567/E567*100</f>
        <v>99.838403576950611</v>
      </c>
      <c r="H567" s="110">
        <v>100</v>
      </c>
      <c r="I567" s="121"/>
    </row>
    <row r="568" spans="2:9" ht="16.5" hidden="1" customHeight="1" x14ac:dyDescent="0.25">
      <c r="B568" s="76"/>
      <c r="C568" s="226"/>
      <c r="D568" s="227" t="s">
        <v>578</v>
      </c>
      <c r="E568" s="228">
        <v>19273400000</v>
      </c>
      <c r="F568" s="228">
        <v>19242254875</v>
      </c>
      <c r="G568" s="235">
        <f>+F568/E568*100</f>
        <v>99.838403576950611</v>
      </c>
      <c r="H568" s="235">
        <v>100</v>
      </c>
      <c r="I568" s="111"/>
    </row>
    <row r="569" spans="2:9" ht="16.5" hidden="1" customHeight="1" x14ac:dyDescent="0.25">
      <c r="B569" s="76"/>
      <c r="C569" s="226"/>
      <c r="D569" s="32"/>
      <c r="E569" s="172"/>
      <c r="F569" s="108"/>
      <c r="G569" s="235"/>
      <c r="H569" s="110"/>
      <c r="I569" s="111"/>
    </row>
    <row r="570" spans="2:9" ht="16.5" hidden="1" customHeight="1" x14ac:dyDescent="0.25">
      <c r="B570" s="76"/>
      <c r="C570" s="226"/>
      <c r="D570" s="48" t="s">
        <v>579</v>
      </c>
      <c r="E570" s="112">
        <v>21174373000</v>
      </c>
      <c r="F570" s="113">
        <f>+F571</f>
        <v>12889900400</v>
      </c>
      <c r="G570" s="110">
        <f>+F570/E570*100</f>
        <v>60.875003949349527</v>
      </c>
      <c r="H570" s="110">
        <f>H571</f>
        <v>70</v>
      </c>
      <c r="I570" s="111"/>
    </row>
    <row r="571" spans="2:9" s="115" customFormat="1" ht="16.5" hidden="1" customHeight="1" x14ac:dyDescent="0.25">
      <c r="B571" s="157"/>
      <c r="C571" s="222"/>
      <c r="D571" s="48" t="s">
        <v>580</v>
      </c>
      <c r="E571" s="112">
        <v>21174373000</v>
      </c>
      <c r="F571" s="113">
        <f>+F572</f>
        <v>12889900400</v>
      </c>
      <c r="G571" s="110">
        <f>+F571/E571*100</f>
        <v>60.875003949349527</v>
      </c>
      <c r="H571" s="110">
        <v>70</v>
      </c>
      <c r="I571" s="121"/>
    </row>
    <row r="572" spans="2:9" s="115" customFormat="1" ht="16.5" hidden="1" customHeight="1" x14ac:dyDescent="0.25">
      <c r="B572" s="157"/>
      <c r="C572" s="222"/>
      <c r="D572" s="48" t="s">
        <v>581</v>
      </c>
      <c r="E572" s="172">
        <v>21174373000</v>
      </c>
      <c r="F572" s="108">
        <v>12889900400</v>
      </c>
      <c r="G572" s="235">
        <f>+F572/E572*100</f>
        <v>60.875003949349527</v>
      </c>
      <c r="H572" s="235">
        <v>70</v>
      </c>
      <c r="I572" s="121"/>
    </row>
    <row r="573" spans="2:9" ht="16.5" hidden="1" customHeight="1" x14ac:dyDescent="0.25">
      <c r="B573" s="76"/>
      <c r="C573" s="226"/>
      <c r="D573" s="32"/>
      <c r="E573" s="172"/>
      <c r="F573" s="108"/>
      <c r="G573" s="235"/>
      <c r="H573" s="110"/>
      <c r="I573" s="111"/>
    </row>
    <row r="574" spans="2:9" s="115" customFormat="1" ht="16.5" hidden="1" customHeight="1" x14ac:dyDescent="0.25">
      <c r="B574" s="157"/>
      <c r="C574" s="222"/>
      <c r="D574" s="48" t="s">
        <v>582</v>
      </c>
      <c r="E574" s="218">
        <f>+E575+E583+E589+E592+E594</f>
        <v>69868200000</v>
      </c>
      <c r="F574" s="113">
        <f>+F575+F583+F589+F592+F594</f>
        <v>66610283983</v>
      </c>
      <c r="G574" s="110">
        <f t="shared" ref="G574:G604" si="35">+F574/E574*100</f>
        <v>95.337054601378028</v>
      </c>
      <c r="H574" s="110">
        <f>(H575+H583+H589+H592+H594)/5</f>
        <v>95.3</v>
      </c>
      <c r="I574" s="121"/>
    </row>
    <row r="575" spans="2:9" s="115" customFormat="1" ht="16.5" hidden="1" customHeight="1" x14ac:dyDescent="0.25">
      <c r="B575" s="157"/>
      <c r="C575" s="222"/>
      <c r="D575" s="48" t="s">
        <v>227</v>
      </c>
      <c r="E575" s="218">
        <f>SUM(E576:E582)</f>
        <v>5189318860</v>
      </c>
      <c r="F575" s="113">
        <f>SUM(F576:F582)</f>
        <v>4837823478</v>
      </c>
      <c r="G575" s="110">
        <f t="shared" si="35"/>
        <v>93.226560335126536</v>
      </c>
      <c r="H575" s="110">
        <f>SUM((H576:H582))/7</f>
        <v>90</v>
      </c>
      <c r="I575" s="121"/>
    </row>
    <row r="576" spans="2:9" ht="16.5" hidden="1" customHeight="1" x14ac:dyDescent="0.25">
      <c r="B576" s="76"/>
      <c r="C576" s="226"/>
      <c r="D576" s="32" t="s">
        <v>228</v>
      </c>
      <c r="E576" s="219">
        <v>782800000</v>
      </c>
      <c r="F576" s="108">
        <v>609193478</v>
      </c>
      <c r="G576" s="235">
        <f t="shared" si="35"/>
        <v>77.822365610628509</v>
      </c>
      <c r="H576" s="235">
        <v>80</v>
      </c>
      <c r="I576" s="111"/>
    </row>
    <row r="577" spans="2:9" ht="16.5" hidden="1" customHeight="1" x14ac:dyDescent="0.25">
      <c r="B577" s="76"/>
      <c r="C577" s="226"/>
      <c r="D577" s="32" t="s">
        <v>229</v>
      </c>
      <c r="E577" s="219">
        <v>966000000</v>
      </c>
      <c r="F577" s="108">
        <v>963513000</v>
      </c>
      <c r="G577" s="235">
        <f t="shared" si="35"/>
        <v>99.742546583850938</v>
      </c>
      <c r="H577" s="235">
        <v>100</v>
      </c>
      <c r="I577" s="111"/>
    </row>
    <row r="578" spans="2:9" ht="16.5" hidden="1" customHeight="1" x14ac:dyDescent="0.25">
      <c r="B578" s="76"/>
      <c r="C578" s="226"/>
      <c r="D578" s="32" t="s">
        <v>583</v>
      </c>
      <c r="E578" s="219">
        <v>692718860</v>
      </c>
      <c r="F578" s="108">
        <v>692210000</v>
      </c>
      <c r="G578" s="235">
        <f t="shared" si="35"/>
        <v>99.926541627580349</v>
      </c>
      <c r="H578" s="235">
        <v>100</v>
      </c>
      <c r="I578" s="111"/>
    </row>
    <row r="579" spans="2:9" ht="16.5" hidden="1" customHeight="1" x14ac:dyDescent="0.25">
      <c r="B579" s="76"/>
      <c r="C579" s="226"/>
      <c r="D579" s="32" t="s">
        <v>584</v>
      </c>
      <c r="E579" s="219">
        <v>38000000</v>
      </c>
      <c r="F579" s="108">
        <v>37950000</v>
      </c>
      <c r="G579" s="235">
        <f t="shared" si="35"/>
        <v>99.868421052631589</v>
      </c>
      <c r="H579" s="235">
        <v>100</v>
      </c>
      <c r="I579" s="111"/>
    </row>
    <row r="580" spans="2:9" ht="16.5" hidden="1" customHeight="1" x14ac:dyDescent="0.25">
      <c r="B580" s="76"/>
      <c r="C580" s="226"/>
      <c r="D580" s="32" t="s">
        <v>585</v>
      </c>
      <c r="E580" s="219">
        <v>189000000</v>
      </c>
      <c r="F580" s="108">
        <v>86060000</v>
      </c>
      <c r="G580" s="235">
        <f t="shared" si="35"/>
        <v>45.534391534391531</v>
      </c>
      <c r="H580" s="235">
        <v>50</v>
      </c>
      <c r="I580" s="111"/>
    </row>
    <row r="581" spans="2:9" ht="16.5" hidden="1" customHeight="1" x14ac:dyDescent="0.25">
      <c r="B581" s="76"/>
      <c r="C581" s="226"/>
      <c r="D581" s="32" t="s">
        <v>586</v>
      </c>
      <c r="E581" s="219">
        <v>1760000000</v>
      </c>
      <c r="F581" s="108">
        <v>1703997000</v>
      </c>
      <c r="G581" s="235">
        <f t="shared" si="35"/>
        <v>96.818011363636359</v>
      </c>
      <c r="H581" s="235">
        <v>100</v>
      </c>
      <c r="I581" s="111"/>
    </row>
    <row r="582" spans="2:9" ht="16.5" hidden="1" customHeight="1" x14ac:dyDescent="0.25">
      <c r="B582" s="76"/>
      <c r="C582" s="226"/>
      <c r="D582" s="32" t="s">
        <v>587</v>
      </c>
      <c r="E582" s="219">
        <v>760800000</v>
      </c>
      <c r="F582" s="108">
        <v>744900000</v>
      </c>
      <c r="G582" s="235">
        <f t="shared" si="35"/>
        <v>97.910094637223978</v>
      </c>
      <c r="H582" s="235">
        <v>100</v>
      </c>
      <c r="I582" s="111"/>
    </row>
    <row r="583" spans="2:9" s="115" customFormat="1" ht="16.5" hidden="1" customHeight="1" x14ac:dyDescent="0.25">
      <c r="B583" s="157"/>
      <c r="C583" s="222"/>
      <c r="D583" s="48" t="s">
        <v>151</v>
      </c>
      <c r="E583" s="218">
        <f>SUM(E584:E588)</f>
        <v>5017796840</v>
      </c>
      <c r="F583" s="113">
        <f>+F584+F585+F586+F587+F588</f>
        <v>4963174350</v>
      </c>
      <c r="G583" s="110">
        <f t="shared" si="35"/>
        <v>98.911424839591561</v>
      </c>
      <c r="H583" s="110">
        <f>SUM((H584:H588))/5</f>
        <v>100</v>
      </c>
      <c r="I583" s="121"/>
    </row>
    <row r="584" spans="2:9" ht="16.5" hidden="1" customHeight="1" x14ac:dyDescent="0.25">
      <c r="B584" s="76"/>
      <c r="C584" s="226"/>
      <c r="D584" s="32" t="s">
        <v>588</v>
      </c>
      <c r="E584" s="219">
        <v>2191250000</v>
      </c>
      <c r="F584" s="108">
        <v>2185120000</v>
      </c>
      <c r="G584" s="235">
        <f t="shared" si="35"/>
        <v>99.720250998288648</v>
      </c>
      <c r="H584" s="235">
        <v>100</v>
      </c>
      <c r="I584" s="111"/>
    </row>
    <row r="585" spans="2:9" ht="16.5" hidden="1" customHeight="1" x14ac:dyDescent="0.25">
      <c r="B585" s="76"/>
      <c r="C585" s="226"/>
      <c r="D585" s="32" t="s">
        <v>589</v>
      </c>
      <c r="E585" s="219">
        <v>350250000</v>
      </c>
      <c r="F585" s="108">
        <v>349580000</v>
      </c>
      <c r="G585" s="235">
        <f t="shared" si="35"/>
        <v>99.808708065667389</v>
      </c>
      <c r="H585" s="235">
        <v>100</v>
      </c>
      <c r="I585" s="111"/>
    </row>
    <row r="586" spans="2:9" ht="16.5" hidden="1" customHeight="1" x14ac:dyDescent="0.25">
      <c r="B586" s="76"/>
      <c r="C586" s="226"/>
      <c r="D586" s="32" t="s">
        <v>590</v>
      </c>
      <c r="E586" s="219">
        <v>525000000</v>
      </c>
      <c r="F586" s="108">
        <v>522830000</v>
      </c>
      <c r="G586" s="235">
        <f t="shared" si="35"/>
        <v>99.586666666666673</v>
      </c>
      <c r="H586" s="235">
        <v>100</v>
      </c>
      <c r="I586" s="111"/>
    </row>
    <row r="587" spans="2:9" ht="16.5" hidden="1" customHeight="1" x14ac:dyDescent="0.25">
      <c r="B587" s="76"/>
      <c r="C587" s="226"/>
      <c r="D587" s="32" t="s">
        <v>591</v>
      </c>
      <c r="E587" s="219">
        <v>1196196840</v>
      </c>
      <c r="F587" s="108">
        <v>1152044350</v>
      </c>
      <c r="G587" s="235">
        <f t="shared" si="35"/>
        <v>96.308927717949828</v>
      </c>
      <c r="H587" s="235">
        <v>100</v>
      </c>
      <c r="I587" s="111"/>
    </row>
    <row r="588" spans="2:9" ht="16.5" hidden="1" customHeight="1" x14ac:dyDescent="0.25">
      <c r="B588" s="76"/>
      <c r="C588" s="226"/>
      <c r="D588" s="32" t="s">
        <v>592</v>
      </c>
      <c r="E588" s="219">
        <v>755100000</v>
      </c>
      <c r="F588" s="108">
        <v>753600000</v>
      </c>
      <c r="G588" s="235">
        <f t="shared" si="35"/>
        <v>99.801350814461671</v>
      </c>
      <c r="H588" s="235">
        <v>100</v>
      </c>
      <c r="I588" s="111"/>
    </row>
    <row r="589" spans="2:9" s="115" customFormat="1" ht="16.5" hidden="1" customHeight="1" x14ac:dyDescent="0.25">
      <c r="B589" s="157"/>
      <c r="C589" s="222"/>
      <c r="D589" s="48" t="s">
        <v>593</v>
      </c>
      <c r="E589" s="218">
        <f>+E590+E591</f>
        <v>694583475</v>
      </c>
      <c r="F589" s="113">
        <f>+F590+F591</f>
        <v>692250000</v>
      </c>
      <c r="G589" s="110">
        <f t="shared" si="35"/>
        <v>99.664046859162596</v>
      </c>
      <c r="H589" s="110">
        <f>SUM((H590:H591))/2</f>
        <v>100</v>
      </c>
      <c r="I589" s="121"/>
    </row>
    <row r="590" spans="2:9" ht="16.5" hidden="1" customHeight="1" x14ac:dyDescent="0.25">
      <c r="B590" s="76"/>
      <c r="C590" s="226"/>
      <c r="D590" s="32" t="s">
        <v>594</v>
      </c>
      <c r="E590" s="219">
        <v>388142775</v>
      </c>
      <c r="F590" s="108">
        <v>387720000</v>
      </c>
      <c r="G590" s="235">
        <f t="shared" si="35"/>
        <v>99.891077452105094</v>
      </c>
      <c r="H590" s="235">
        <v>100</v>
      </c>
      <c r="I590" s="111"/>
    </row>
    <row r="591" spans="2:9" ht="16.5" hidden="1" customHeight="1" x14ac:dyDescent="0.25">
      <c r="B591" s="76"/>
      <c r="C591" s="226"/>
      <c r="D591" s="32" t="s">
        <v>595</v>
      </c>
      <c r="E591" s="219">
        <v>306440700</v>
      </c>
      <c r="F591" s="108">
        <v>304530000</v>
      </c>
      <c r="G591" s="235">
        <f t="shared" si="35"/>
        <v>99.376486217398664</v>
      </c>
      <c r="H591" s="235">
        <v>100</v>
      </c>
      <c r="I591" s="111"/>
    </row>
    <row r="592" spans="2:9" s="115" customFormat="1" ht="16.5" hidden="1" customHeight="1" x14ac:dyDescent="0.25">
      <c r="B592" s="157"/>
      <c r="C592" s="222"/>
      <c r="D592" s="48" t="s">
        <v>153</v>
      </c>
      <c r="E592" s="218">
        <f>+E593</f>
        <v>3600600200</v>
      </c>
      <c r="F592" s="113">
        <f>+F593</f>
        <v>3262540500</v>
      </c>
      <c r="G592" s="110">
        <f t="shared" si="35"/>
        <v>90.611018129699588</v>
      </c>
      <c r="H592" s="110">
        <f>H593</f>
        <v>95</v>
      </c>
      <c r="I592" s="121"/>
    </row>
    <row r="593" spans="2:9" ht="16.5" hidden="1" customHeight="1" x14ac:dyDescent="0.25">
      <c r="B593" s="76"/>
      <c r="C593" s="226"/>
      <c r="D593" s="32" t="s">
        <v>154</v>
      </c>
      <c r="E593" s="219">
        <v>3600600200</v>
      </c>
      <c r="F593" s="108">
        <v>3262540500</v>
      </c>
      <c r="G593" s="235">
        <f t="shared" si="35"/>
        <v>90.611018129699588</v>
      </c>
      <c r="H593" s="235">
        <v>95</v>
      </c>
      <c r="I593" s="111"/>
    </row>
    <row r="594" spans="2:9" s="115" customFormat="1" ht="16.5" hidden="1" customHeight="1" x14ac:dyDescent="0.25">
      <c r="B594" s="157"/>
      <c r="C594" s="222"/>
      <c r="D594" s="48" t="s">
        <v>596</v>
      </c>
      <c r="E594" s="218">
        <f>SUM(E595:E604)</f>
        <v>55365900625</v>
      </c>
      <c r="F594" s="113">
        <f>SUM(F595:F604)</f>
        <v>52854495655</v>
      </c>
      <c r="G594" s="110">
        <f t="shared" si="35"/>
        <v>95.463986060643975</v>
      </c>
      <c r="H594" s="110">
        <f>SUM((H595:H604))/10</f>
        <v>91.5</v>
      </c>
      <c r="I594" s="121"/>
    </row>
    <row r="595" spans="2:9" ht="16.5" hidden="1" customHeight="1" x14ac:dyDescent="0.25">
      <c r="B595" s="76"/>
      <c r="C595" s="226"/>
      <c r="D595" s="32" t="s">
        <v>597</v>
      </c>
      <c r="E595" s="219">
        <v>2080000000</v>
      </c>
      <c r="F595" s="108">
        <v>1890500000</v>
      </c>
      <c r="G595" s="235">
        <f t="shared" si="35"/>
        <v>90.88942307692308</v>
      </c>
      <c r="H595" s="235">
        <v>95</v>
      </c>
      <c r="I595" s="111"/>
    </row>
    <row r="596" spans="2:9" ht="16.5" hidden="1" customHeight="1" x14ac:dyDescent="0.25">
      <c r="B596" s="76"/>
      <c r="C596" s="226"/>
      <c r="D596" s="32" t="s">
        <v>598</v>
      </c>
      <c r="E596" s="219">
        <v>5080000000</v>
      </c>
      <c r="F596" s="108">
        <v>5076649998</v>
      </c>
      <c r="G596" s="235">
        <f t="shared" si="35"/>
        <v>99.934055078740158</v>
      </c>
      <c r="H596" s="235">
        <v>100</v>
      </c>
      <c r="I596" s="111"/>
    </row>
    <row r="597" spans="2:9" ht="16.5" hidden="1" customHeight="1" x14ac:dyDescent="0.25">
      <c r="B597" s="76"/>
      <c r="C597" s="226"/>
      <c r="D597" s="32" t="s">
        <v>599</v>
      </c>
      <c r="E597" s="219">
        <v>3726000000</v>
      </c>
      <c r="F597" s="108">
        <v>3671800000</v>
      </c>
      <c r="G597" s="235">
        <f t="shared" si="35"/>
        <v>98.545356951154048</v>
      </c>
      <c r="H597" s="235">
        <v>100</v>
      </c>
      <c r="I597" s="111"/>
    </row>
    <row r="598" spans="2:9" ht="16.5" hidden="1" customHeight="1" x14ac:dyDescent="0.25">
      <c r="B598" s="76"/>
      <c r="C598" s="226"/>
      <c r="D598" s="32" t="s">
        <v>600</v>
      </c>
      <c r="E598" s="219">
        <v>11139197295</v>
      </c>
      <c r="F598" s="108">
        <v>11095847850</v>
      </c>
      <c r="G598" s="235">
        <f t="shared" si="35"/>
        <v>99.610838700025013</v>
      </c>
      <c r="H598" s="235">
        <v>100</v>
      </c>
      <c r="I598" s="111"/>
    </row>
    <row r="599" spans="2:9" ht="18.75" hidden="1" customHeight="1" x14ac:dyDescent="0.25">
      <c r="B599" s="76"/>
      <c r="C599" s="226"/>
      <c r="D599" s="119" t="s">
        <v>601</v>
      </c>
      <c r="E599" s="219">
        <v>4244749800</v>
      </c>
      <c r="F599" s="108">
        <v>4050000000</v>
      </c>
      <c r="G599" s="235">
        <f t="shared" si="35"/>
        <v>95.411983999622308</v>
      </c>
      <c r="H599" s="235">
        <v>100</v>
      </c>
      <c r="I599" s="111"/>
    </row>
    <row r="600" spans="2:9" ht="16.5" hidden="1" customHeight="1" x14ac:dyDescent="0.25">
      <c r="B600" s="76"/>
      <c r="C600" s="226"/>
      <c r="D600" s="32" t="s">
        <v>602</v>
      </c>
      <c r="E600" s="219">
        <v>17365125000</v>
      </c>
      <c r="F600" s="108">
        <v>16523374507</v>
      </c>
      <c r="G600" s="235">
        <f t="shared" si="35"/>
        <v>95.152637870444352</v>
      </c>
      <c r="H600" s="235">
        <v>100</v>
      </c>
      <c r="I600" s="111"/>
    </row>
    <row r="601" spans="2:9" ht="16.5" hidden="1" customHeight="1" x14ac:dyDescent="0.25">
      <c r="B601" s="76"/>
      <c r="C601" s="226"/>
      <c r="D601" s="32" t="s">
        <v>603</v>
      </c>
      <c r="E601" s="219">
        <v>3137428530</v>
      </c>
      <c r="F601" s="108">
        <v>2736530000</v>
      </c>
      <c r="G601" s="235">
        <f t="shared" si="35"/>
        <v>87.222066537400934</v>
      </c>
      <c r="H601" s="235">
        <v>90</v>
      </c>
      <c r="I601" s="111"/>
    </row>
    <row r="602" spans="2:9" ht="16.5" hidden="1" customHeight="1" x14ac:dyDescent="0.25">
      <c r="B602" s="76"/>
      <c r="C602" s="226"/>
      <c r="D602" s="32" t="s">
        <v>604</v>
      </c>
      <c r="E602" s="219">
        <v>353600000</v>
      </c>
      <c r="F602" s="108">
        <v>100000000</v>
      </c>
      <c r="G602" s="235">
        <f t="shared" si="35"/>
        <v>28.280542986425338</v>
      </c>
      <c r="H602" s="235">
        <v>30</v>
      </c>
      <c r="I602" s="111"/>
    </row>
    <row r="603" spans="2:9" ht="16.5" hidden="1" customHeight="1" x14ac:dyDescent="0.25">
      <c r="B603" s="76"/>
      <c r="C603" s="226"/>
      <c r="D603" s="32" t="s">
        <v>605</v>
      </c>
      <c r="E603" s="219">
        <v>6559800000</v>
      </c>
      <c r="F603" s="108">
        <v>6029793300</v>
      </c>
      <c r="G603" s="235">
        <f t="shared" si="35"/>
        <v>91.920383243391569</v>
      </c>
      <c r="H603" s="235">
        <v>100</v>
      </c>
      <c r="I603" s="111"/>
    </row>
    <row r="604" spans="2:9" ht="16.5" hidden="1" customHeight="1" x14ac:dyDescent="0.25">
      <c r="B604" s="76"/>
      <c r="C604" s="226"/>
      <c r="D604" s="32" t="s">
        <v>606</v>
      </c>
      <c r="E604" s="219">
        <v>1680000000</v>
      </c>
      <c r="F604" s="108">
        <v>1680000000</v>
      </c>
      <c r="G604" s="235">
        <f t="shared" si="35"/>
        <v>100</v>
      </c>
      <c r="H604" s="235">
        <f t="shared" ref="H604:H654" si="36">+G604</f>
        <v>100</v>
      </c>
      <c r="I604" s="111"/>
    </row>
    <row r="605" spans="2:9" ht="16.5" hidden="1" customHeight="1" x14ac:dyDescent="0.25">
      <c r="B605" s="76"/>
      <c r="C605" s="226"/>
      <c r="D605" s="32"/>
      <c r="E605" s="172"/>
      <c r="F605" s="108"/>
      <c r="G605" s="235"/>
      <c r="H605" s="110"/>
      <c r="I605" s="111"/>
    </row>
    <row r="606" spans="2:9" s="115" customFormat="1" ht="16.5" hidden="1" customHeight="1" x14ac:dyDescent="0.25">
      <c r="B606" s="157"/>
      <c r="C606" s="222"/>
      <c r="D606" s="121" t="s">
        <v>607</v>
      </c>
      <c r="E606" s="224">
        <f>+E607+E621</f>
        <v>9498600000</v>
      </c>
      <c r="F606" s="220">
        <f>+F607+F621</f>
        <v>9220625934</v>
      </c>
      <c r="G606" s="110">
        <f t="shared" ref="G606:G622" si="37">+F606/E606*100</f>
        <v>97.073525930137066</v>
      </c>
      <c r="H606" s="110">
        <f>(H607+H621)/2</f>
        <v>97.5</v>
      </c>
      <c r="I606" s="121"/>
    </row>
    <row r="607" spans="2:9" s="115" customFormat="1" ht="16.5" hidden="1" customHeight="1" x14ac:dyDescent="0.25">
      <c r="B607" s="157"/>
      <c r="C607" s="222"/>
      <c r="D607" s="48" t="s">
        <v>608</v>
      </c>
      <c r="E607" s="224">
        <f>SUM(E608:E620)</f>
        <v>8026150000</v>
      </c>
      <c r="F607" s="220">
        <f>SUM(F608:F620)</f>
        <v>7861559734</v>
      </c>
      <c r="G607" s="110">
        <f t="shared" si="37"/>
        <v>97.949324819496269</v>
      </c>
      <c r="H607" s="110">
        <f>SUM((H608:H620))/13</f>
        <v>100</v>
      </c>
      <c r="I607" s="121"/>
    </row>
    <row r="608" spans="2:9" ht="16.5" hidden="1" customHeight="1" x14ac:dyDescent="0.25">
      <c r="B608" s="76"/>
      <c r="C608" s="226"/>
      <c r="D608" s="32" t="s">
        <v>609</v>
      </c>
      <c r="E608" s="228">
        <v>300000000</v>
      </c>
      <c r="F608" s="221">
        <v>291925400</v>
      </c>
      <c r="G608" s="235">
        <f t="shared" si="37"/>
        <v>97.308466666666675</v>
      </c>
      <c r="H608" s="235">
        <v>100</v>
      </c>
      <c r="I608" s="111"/>
    </row>
    <row r="609" spans="2:9" ht="16.5" hidden="1" customHeight="1" x14ac:dyDescent="0.25">
      <c r="B609" s="76"/>
      <c r="C609" s="226"/>
      <c r="D609" s="32" t="s">
        <v>610</v>
      </c>
      <c r="E609" s="228">
        <v>200000000</v>
      </c>
      <c r="F609" s="221">
        <v>200000000</v>
      </c>
      <c r="G609" s="235">
        <f t="shared" si="37"/>
        <v>100</v>
      </c>
      <c r="H609" s="235">
        <f t="shared" si="36"/>
        <v>100</v>
      </c>
      <c r="I609" s="111"/>
    </row>
    <row r="610" spans="2:9" ht="16.5" hidden="1" customHeight="1" x14ac:dyDescent="0.25">
      <c r="B610" s="76"/>
      <c r="C610" s="226"/>
      <c r="D610" s="32" t="s">
        <v>611</v>
      </c>
      <c r="E610" s="228">
        <v>5024500000</v>
      </c>
      <c r="F610" s="221">
        <v>4969481567</v>
      </c>
      <c r="G610" s="235">
        <f t="shared" si="37"/>
        <v>98.904996855408498</v>
      </c>
      <c r="H610" s="235">
        <v>100</v>
      </c>
      <c r="I610" s="111"/>
    </row>
    <row r="611" spans="2:9" ht="16.5" hidden="1" customHeight="1" x14ac:dyDescent="0.25">
      <c r="B611" s="76"/>
      <c r="C611" s="226"/>
      <c r="D611" s="32" t="s">
        <v>612</v>
      </c>
      <c r="E611" s="228">
        <v>574650000</v>
      </c>
      <c r="F611" s="221">
        <v>527268618</v>
      </c>
      <c r="G611" s="235">
        <f t="shared" si="37"/>
        <v>91.754740798747065</v>
      </c>
      <c r="H611" s="235">
        <v>100</v>
      </c>
      <c r="I611" s="111"/>
    </row>
    <row r="612" spans="2:9" ht="16.5" hidden="1" customHeight="1" x14ac:dyDescent="0.25">
      <c r="B612" s="76"/>
      <c r="C612" s="226"/>
      <c r="D612" s="32" t="s">
        <v>613</v>
      </c>
      <c r="E612" s="228">
        <v>250000000</v>
      </c>
      <c r="F612" s="221">
        <v>241262470</v>
      </c>
      <c r="G612" s="235">
        <f t="shared" si="37"/>
        <v>96.504987999999997</v>
      </c>
      <c r="H612" s="235">
        <v>100</v>
      </c>
      <c r="I612" s="111"/>
    </row>
    <row r="613" spans="2:9" ht="16.5" hidden="1" customHeight="1" x14ac:dyDescent="0.25">
      <c r="B613" s="76"/>
      <c r="C613" s="226"/>
      <c r="D613" s="32" t="s">
        <v>614</v>
      </c>
      <c r="E613" s="228">
        <v>42000000</v>
      </c>
      <c r="F613" s="221">
        <v>41775900</v>
      </c>
      <c r="G613" s="235">
        <f t="shared" si="37"/>
        <v>99.466428571428565</v>
      </c>
      <c r="H613" s="235">
        <v>100</v>
      </c>
      <c r="I613" s="111"/>
    </row>
    <row r="614" spans="2:9" ht="16.5" hidden="1" customHeight="1" x14ac:dyDescent="0.25">
      <c r="B614" s="76"/>
      <c r="C614" s="226"/>
      <c r="D614" s="32" t="s">
        <v>615</v>
      </c>
      <c r="E614" s="228">
        <v>250000000</v>
      </c>
      <c r="F614" s="221">
        <v>247953300</v>
      </c>
      <c r="G614" s="235">
        <f t="shared" si="37"/>
        <v>99.181319999999999</v>
      </c>
      <c r="H614" s="235">
        <v>100</v>
      </c>
      <c r="I614" s="111"/>
    </row>
    <row r="615" spans="2:9" ht="16.5" hidden="1" customHeight="1" x14ac:dyDescent="0.25">
      <c r="B615" s="76"/>
      <c r="C615" s="226"/>
      <c r="D615" s="32" t="s">
        <v>616</v>
      </c>
      <c r="E615" s="228">
        <v>360000000</v>
      </c>
      <c r="F615" s="221">
        <v>343645230</v>
      </c>
      <c r="G615" s="235">
        <f t="shared" si="37"/>
        <v>95.457008333333334</v>
      </c>
      <c r="H615" s="235">
        <v>100</v>
      </c>
      <c r="I615" s="111"/>
    </row>
    <row r="616" spans="2:9" ht="16.5" hidden="1" customHeight="1" x14ac:dyDescent="0.25">
      <c r="B616" s="76"/>
      <c r="C616" s="226"/>
      <c r="D616" s="32" t="s">
        <v>617</v>
      </c>
      <c r="E616" s="228">
        <v>125000000</v>
      </c>
      <c r="F616" s="221">
        <v>124962000</v>
      </c>
      <c r="G616" s="235">
        <f t="shared" si="37"/>
        <v>99.9696</v>
      </c>
      <c r="H616" s="235">
        <v>100</v>
      </c>
      <c r="I616" s="111"/>
    </row>
    <row r="617" spans="2:9" ht="16.5" hidden="1" customHeight="1" x14ac:dyDescent="0.25">
      <c r="B617" s="76"/>
      <c r="C617" s="226"/>
      <c r="D617" s="32" t="s">
        <v>618</v>
      </c>
      <c r="E617" s="228">
        <v>250000000</v>
      </c>
      <c r="F617" s="221">
        <v>242614400</v>
      </c>
      <c r="G617" s="235">
        <f t="shared" si="37"/>
        <v>97.045760000000001</v>
      </c>
      <c r="H617" s="235">
        <v>100</v>
      </c>
      <c r="I617" s="111"/>
    </row>
    <row r="618" spans="2:9" ht="16.5" hidden="1" customHeight="1" x14ac:dyDescent="0.25">
      <c r="B618" s="76"/>
      <c r="C618" s="226"/>
      <c r="D618" s="32" t="s">
        <v>619</v>
      </c>
      <c r="E618" s="228">
        <v>250000000</v>
      </c>
      <c r="F618" s="221">
        <v>240527500</v>
      </c>
      <c r="G618" s="235">
        <f t="shared" si="37"/>
        <v>96.210999999999999</v>
      </c>
      <c r="H618" s="235">
        <v>100</v>
      </c>
      <c r="I618" s="111"/>
    </row>
    <row r="619" spans="2:9" ht="16.5" hidden="1" customHeight="1" x14ac:dyDescent="0.25">
      <c r="B619" s="76"/>
      <c r="C619" s="226"/>
      <c r="D619" s="32" t="s">
        <v>620</v>
      </c>
      <c r="E619" s="228">
        <v>250000000</v>
      </c>
      <c r="F619" s="221">
        <v>240489349</v>
      </c>
      <c r="G619" s="235">
        <f t="shared" si="37"/>
        <v>96.195739599999996</v>
      </c>
      <c r="H619" s="235">
        <v>100</v>
      </c>
      <c r="I619" s="111"/>
    </row>
    <row r="620" spans="2:9" ht="18.75" hidden="1" customHeight="1" x14ac:dyDescent="0.25">
      <c r="B620" s="76"/>
      <c r="C620" s="226"/>
      <c r="D620" s="119" t="s">
        <v>621</v>
      </c>
      <c r="E620" s="228">
        <v>150000000</v>
      </c>
      <c r="F620" s="221">
        <v>149654000</v>
      </c>
      <c r="G620" s="235">
        <f t="shared" si="37"/>
        <v>99.769333333333336</v>
      </c>
      <c r="H620" s="235">
        <v>100</v>
      </c>
      <c r="I620" s="111"/>
    </row>
    <row r="621" spans="2:9" s="115" customFormat="1" ht="16.5" hidden="1" customHeight="1" x14ac:dyDescent="0.25">
      <c r="B621" s="157"/>
      <c r="C621" s="222"/>
      <c r="D621" s="48" t="s">
        <v>622</v>
      </c>
      <c r="E621" s="224">
        <f>+E622</f>
        <v>1472450000</v>
      </c>
      <c r="F621" s="220">
        <f>+F622</f>
        <v>1359066200</v>
      </c>
      <c r="G621" s="110">
        <f t="shared" si="37"/>
        <v>92.299650242792623</v>
      </c>
      <c r="H621" s="110">
        <f>H622</f>
        <v>95</v>
      </c>
      <c r="I621" s="121"/>
    </row>
    <row r="622" spans="2:9" ht="16.5" hidden="1" customHeight="1" x14ac:dyDescent="0.25">
      <c r="B622" s="76"/>
      <c r="C622" s="226"/>
      <c r="D622" s="32" t="s">
        <v>623</v>
      </c>
      <c r="E622" s="228">
        <v>1472450000</v>
      </c>
      <c r="F622" s="221">
        <v>1359066200</v>
      </c>
      <c r="G622" s="235">
        <f t="shared" si="37"/>
        <v>92.299650242792623</v>
      </c>
      <c r="H622" s="235">
        <v>95</v>
      </c>
      <c r="I622" s="111"/>
    </row>
    <row r="623" spans="2:9" ht="16.5" hidden="1" customHeight="1" x14ac:dyDescent="0.25">
      <c r="B623" s="76"/>
      <c r="C623" s="226"/>
      <c r="D623" s="32"/>
      <c r="E623" s="172"/>
      <c r="F623" s="108"/>
      <c r="G623" s="235"/>
      <c r="H623" s="110"/>
      <c r="I623" s="111"/>
    </row>
    <row r="624" spans="2:9" s="115" customFormat="1" ht="16.5" hidden="1" customHeight="1" x14ac:dyDescent="0.25">
      <c r="B624" s="157"/>
      <c r="C624" s="222"/>
      <c r="D624" s="48" t="s">
        <v>624</v>
      </c>
      <c r="E624" s="112">
        <f>+E625+E627</f>
        <v>14000000000</v>
      </c>
      <c r="F624" s="220">
        <f>+F625+F627</f>
        <v>12165810552</v>
      </c>
      <c r="G624" s="110">
        <f t="shared" ref="G624:G629" si="38">+F624/E624*100</f>
        <v>86.898646799999995</v>
      </c>
      <c r="H624" s="110">
        <f>(H625+H627)/2</f>
        <v>88.75</v>
      </c>
      <c r="I624" s="121"/>
    </row>
    <row r="625" spans="2:9" s="115" customFormat="1" ht="16.5" hidden="1" customHeight="1" x14ac:dyDescent="0.25">
      <c r="B625" s="157"/>
      <c r="C625" s="222"/>
      <c r="D625" s="48" t="s">
        <v>625</v>
      </c>
      <c r="E625" s="112">
        <f>+E626</f>
        <v>2550000000</v>
      </c>
      <c r="F625" s="220">
        <f>+F626</f>
        <v>2180111752</v>
      </c>
      <c r="G625" s="110">
        <f t="shared" si="38"/>
        <v>85.494578509803915</v>
      </c>
      <c r="H625" s="110">
        <v>90</v>
      </c>
      <c r="I625" s="121"/>
    </row>
    <row r="626" spans="2:9" ht="18.75" hidden="1" customHeight="1" x14ac:dyDescent="0.25">
      <c r="B626" s="76"/>
      <c r="C626" s="226"/>
      <c r="D626" s="119" t="s">
        <v>626</v>
      </c>
      <c r="E626" s="216">
        <v>2550000000</v>
      </c>
      <c r="F626" s="221">
        <v>2180111752</v>
      </c>
      <c r="G626" s="235">
        <f t="shared" si="38"/>
        <v>85.494578509803915</v>
      </c>
      <c r="H626" s="235">
        <v>90</v>
      </c>
      <c r="I626" s="111"/>
    </row>
    <row r="627" spans="2:9" s="115" customFormat="1" ht="16.5" hidden="1" customHeight="1" x14ac:dyDescent="0.25">
      <c r="B627" s="157"/>
      <c r="C627" s="222"/>
      <c r="D627" s="48" t="s">
        <v>627</v>
      </c>
      <c r="E627" s="112">
        <f>+E628+E629</f>
        <v>11450000000</v>
      </c>
      <c r="F627" s="220">
        <f>+F628+F629</f>
        <v>9985698800</v>
      </c>
      <c r="G627" s="110">
        <f t="shared" si="38"/>
        <v>87.211343231441049</v>
      </c>
      <c r="H627" s="110">
        <f>(H628+H629)/2</f>
        <v>87.5</v>
      </c>
      <c r="I627" s="121"/>
    </row>
    <row r="628" spans="2:9" ht="16.5" hidden="1" customHeight="1" x14ac:dyDescent="0.25">
      <c r="B628" s="76"/>
      <c r="C628" s="226"/>
      <c r="D628" s="32" t="s">
        <v>628</v>
      </c>
      <c r="E628" s="172">
        <v>8076800000</v>
      </c>
      <c r="F628" s="221">
        <v>7449719900</v>
      </c>
      <c r="G628" s="235">
        <f t="shared" si="38"/>
        <v>92.236032834786059</v>
      </c>
      <c r="H628" s="235">
        <v>95</v>
      </c>
      <c r="I628" s="111"/>
    </row>
    <row r="629" spans="2:9" ht="16.5" hidden="1" customHeight="1" x14ac:dyDescent="0.25">
      <c r="B629" s="76"/>
      <c r="C629" s="226"/>
      <c r="D629" s="32" t="s">
        <v>629</v>
      </c>
      <c r="E629" s="172">
        <v>3373200000</v>
      </c>
      <c r="F629" s="221">
        <v>2535978900</v>
      </c>
      <c r="G629" s="235">
        <f t="shared" si="38"/>
        <v>75.180211668445395</v>
      </c>
      <c r="H629" s="235">
        <v>80</v>
      </c>
      <c r="I629" s="111"/>
    </row>
    <row r="630" spans="2:9" ht="16.5" hidden="1" customHeight="1" x14ac:dyDescent="0.25">
      <c r="B630" s="76"/>
      <c r="C630" s="226"/>
      <c r="D630" s="32"/>
      <c r="E630" s="172"/>
      <c r="F630" s="108"/>
      <c r="G630" s="235"/>
      <c r="H630" s="110"/>
      <c r="I630" s="111"/>
    </row>
    <row r="631" spans="2:9" ht="16.5" hidden="1" customHeight="1" x14ac:dyDescent="0.25">
      <c r="B631" s="76"/>
      <c r="C631" s="226"/>
      <c r="D631" s="48" t="s">
        <v>630</v>
      </c>
      <c r="E631" s="112">
        <f>+E632+E634+E640+E642</f>
        <v>13780000000</v>
      </c>
      <c r="F631" s="113">
        <f>+F632+F634+F640+F642</f>
        <v>12401396023</v>
      </c>
      <c r="G631" s="110">
        <f t="shared" ref="G631:G643" si="39">+F631/E631*100</f>
        <v>89.995617002902762</v>
      </c>
      <c r="H631" s="110">
        <f>(H632+H634+H640+H642)/4</f>
        <v>92.300020608333341</v>
      </c>
      <c r="I631" s="111"/>
    </row>
    <row r="632" spans="2:9" s="115" customFormat="1" ht="16.5" hidden="1" customHeight="1" x14ac:dyDescent="0.25">
      <c r="B632" s="157"/>
      <c r="C632" s="222"/>
      <c r="D632" s="231" t="s">
        <v>330</v>
      </c>
      <c r="E632" s="230">
        <f>+E633</f>
        <v>200000000</v>
      </c>
      <c r="F632" s="220">
        <f>+F633</f>
        <v>174756300</v>
      </c>
      <c r="G632" s="110">
        <f t="shared" si="39"/>
        <v>87.378150000000005</v>
      </c>
      <c r="H632" s="110">
        <f>H633</f>
        <v>90</v>
      </c>
      <c r="I632" s="121"/>
    </row>
    <row r="633" spans="2:9" ht="16.5" hidden="1" customHeight="1" x14ac:dyDescent="0.25">
      <c r="B633" s="76"/>
      <c r="C633" s="226"/>
      <c r="D633" s="232" t="s">
        <v>631</v>
      </c>
      <c r="E633" s="233">
        <v>200000000</v>
      </c>
      <c r="F633" s="221">
        <v>174756300</v>
      </c>
      <c r="G633" s="235">
        <f t="shared" si="39"/>
        <v>87.378150000000005</v>
      </c>
      <c r="H633" s="235">
        <v>90</v>
      </c>
      <c r="I633" s="111"/>
    </row>
    <row r="634" spans="2:9" s="115" customFormat="1" ht="18.75" hidden="1" customHeight="1" x14ac:dyDescent="0.25">
      <c r="B634" s="157"/>
      <c r="C634" s="222"/>
      <c r="D634" s="231" t="s">
        <v>632</v>
      </c>
      <c r="E634" s="230">
        <f>SUM(E635:E639)</f>
        <v>10880000000</v>
      </c>
      <c r="F634" s="220">
        <f>SUM(F635:F639)</f>
        <v>9557398810</v>
      </c>
      <c r="G634" s="110">
        <f t="shared" si="39"/>
        <v>87.843739062500006</v>
      </c>
      <c r="H634" s="110">
        <f>SUM((H635:H639))/5</f>
        <v>79.200082433333336</v>
      </c>
      <c r="I634" s="121"/>
    </row>
    <row r="635" spans="2:9" ht="18.75" hidden="1" customHeight="1" x14ac:dyDescent="0.25">
      <c r="B635" s="76"/>
      <c r="C635" s="226"/>
      <c r="D635" s="232" t="s">
        <v>633</v>
      </c>
      <c r="E635" s="233">
        <v>3000000000</v>
      </c>
      <c r="F635" s="221">
        <v>2730012365</v>
      </c>
      <c r="G635" s="235">
        <f t="shared" si="39"/>
        <v>91.000412166666663</v>
      </c>
      <c r="H635" s="235">
        <f t="shared" si="36"/>
        <v>91.000412166666663</v>
      </c>
      <c r="I635" s="111"/>
    </row>
    <row r="636" spans="2:9" ht="16.5" hidden="1" customHeight="1" x14ac:dyDescent="0.25">
      <c r="B636" s="76"/>
      <c r="C636" s="226"/>
      <c r="D636" s="232" t="s">
        <v>634</v>
      </c>
      <c r="E636" s="233">
        <v>4500000000</v>
      </c>
      <c r="F636" s="221">
        <v>3787211145</v>
      </c>
      <c r="G636" s="110">
        <f t="shared" si="39"/>
        <v>84.160247666666663</v>
      </c>
      <c r="H636" s="110">
        <v>85</v>
      </c>
      <c r="I636" s="111"/>
    </row>
    <row r="637" spans="2:9" ht="25.5" hidden="1" customHeight="1" x14ac:dyDescent="0.25">
      <c r="B637" s="76"/>
      <c r="C637" s="226"/>
      <c r="D637" s="232" t="s">
        <v>635</v>
      </c>
      <c r="E637" s="233">
        <v>1530000000</v>
      </c>
      <c r="F637" s="221">
        <v>1497735000</v>
      </c>
      <c r="G637" s="235">
        <f t="shared" si="39"/>
        <v>97.891176470588235</v>
      </c>
      <c r="H637" s="235">
        <v>100</v>
      </c>
      <c r="I637" s="111"/>
    </row>
    <row r="638" spans="2:9" ht="16.5" hidden="1" customHeight="1" x14ac:dyDescent="0.25">
      <c r="B638" s="76"/>
      <c r="C638" s="226"/>
      <c r="D638" s="232" t="s">
        <v>636</v>
      </c>
      <c r="E638" s="233">
        <v>1500000000</v>
      </c>
      <c r="F638" s="221">
        <v>1488440300</v>
      </c>
      <c r="G638" s="235">
        <f t="shared" si="39"/>
        <v>99.229353333333336</v>
      </c>
      <c r="H638" s="235">
        <v>100</v>
      </c>
      <c r="I638" s="111"/>
    </row>
    <row r="639" spans="2:9" ht="16.5" hidden="1" customHeight="1" x14ac:dyDescent="0.25">
      <c r="B639" s="76"/>
      <c r="C639" s="226"/>
      <c r="D639" s="232" t="s">
        <v>637</v>
      </c>
      <c r="E639" s="233">
        <v>350000000</v>
      </c>
      <c r="F639" s="221">
        <v>54000000</v>
      </c>
      <c r="G639" s="235">
        <f t="shared" si="39"/>
        <v>15.428571428571427</v>
      </c>
      <c r="H639" s="235">
        <v>20</v>
      </c>
      <c r="I639" s="111"/>
    </row>
    <row r="640" spans="2:9" s="115" customFormat="1" ht="16.5" hidden="1" customHeight="1" x14ac:dyDescent="0.25">
      <c r="B640" s="157"/>
      <c r="C640" s="222"/>
      <c r="D640" s="231" t="s">
        <v>638</v>
      </c>
      <c r="E640" s="230">
        <f>+E641</f>
        <v>2000000000</v>
      </c>
      <c r="F640" s="220">
        <f>+F641</f>
        <v>1976276132</v>
      </c>
      <c r="G640" s="110">
        <f t="shared" si="39"/>
        <v>98.813806599999992</v>
      </c>
      <c r="H640" s="110">
        <f>H641</f>
        <v>100</v>
      </c>
      <c r="I640" s="121"/>
    </row>
    <row r="641" spans="2:9" ht="16.5" hidden="1" customHeight="1" x14ac:dyDescent="0.25">
      <c r="B641" s="76"/>
      <c r="C641" s="226"/>
      <c r="D641" s="232" t="s">
        <v>639</v>
      </c>
      <c r="E641" s="233">
        <v>2000000000</v>
      </c>
      <c r="F641" s="221">
        <v>1976276132</v>
      </c>
      <c r="G641" s="235">
        <f t="shared" si="39"/>
        <v>98.813806599999992</v>
      </c>
      <c r="H641" s="235">
        <v>100</v>
      </c>
      <c r="I641" s="111"/>
    </row>
    <row r="642" spans="2:9" s="115" customFormat="1" ht="16.5" hidden="1" customHeight="1" x14ac:dyDescent="0.25">
      <c r="B642" s="157"/>
      <c r="C642" s="222"/>
      <c r="D642" s="231" t="s">
        <v>640</v>
      </c>
      <c r="E642" s="230">
        <f>+E643</f>
        <v>700000000</v>
      </c>
      <c r="F642" s="220">
        <f>+F643</f>
        <v>692964781</v>
      </c>
      <c r="G642" s="110">
        <f t="shared" si="39"/>
        <v>98.994968714285719</v>
      </c>
      <c r="H642" s="110">
        <f>H643</f>
        <v>100</v>
      </c>
      <c r="I642" s="121"/>
    </row>
    <row r="643" spans="2:9" ht="16.5" hidden="1" customHeight="1" x14ac:dyDescent="0.25">
      <c r="B643" s="76"/>
      <c r="C643" s="226"/>
      <c r="D643" s="232" t="s">
        <v>641</v>
      </c>
      <c r="E643" s="233">
        <v>700000000</v>
      </c>
      <c r="F643" s="221">
        <v>692964781</v>
      </c>
      <c r="G643" s="235">
        <f t="shared" si="39"/>
        <v>98.994968714285719</v>
      </c>
      <c r="H643" s="235">
        <v>100</v>
      </c>
      <c r="I643" s="111"/>
    </row>
    <row r="644" spans="2:9" ht="16.5" hidden="1" customHeight="1" x14ac:dyDescent="0.25">
      <c r="B644" s="76"/>
      <c r="C644" s="226"/>
      <c r="D644" s="32"/>
      <c r="E644" s="172"/>
      <c r="F644" s="108"/>
      <c r="G644" s="235"/>
      <c r="H644" s="110"/>
      <c r="I644" s="111"/>
    </row>
    <row r="645" spans="2:9" ht="16.5" hidden="1" customHeight="1" x14ac:dyDescent="0.25">
      <c r="B645" s="76"/>
      <c r="C645" s="226"/>
      <c r="D645" s="48" t="s">
        <v>642</v>
      </c>
      <c r="E645" s="112">
        <f>+E646+E655</f>
        <v>7381579000</v>
      </c>
      <c r="F645" s="113">
        <f>+F646+F655</f>
        <v>6417190391</v>
      </c>
      <c r="G645" s="235">
        <f>+F645/E645*100</f>
        <v>86.935198973011069</v>
      </c>
      <c r="H645" s="110">
        <f>(H646+H655)/2</f>
        <v>78.449000268954919</v>
      </c>
      <c r="I645" s="111"/>
    </row>
    <row r="646" spans="2:9" s="115" customFormat="1" ht="16.5" hidden="1" customHeight="1" x14ac:dyDescent="0.25">
      <c r="B646" s="157"/>
      <c r="C646" s="222"/>
      <c r="D646" s="231" t="s">
        <v>643</v>
      </c>
      <c r="E646" s="230">
        <f>SUM(E647:E654)</f>
        <v>3718410489</v>
      </c>
      <c r="F646" s="220">
        <f>SUM(F647:F654)</f>
        <v>2912651541</v>
      </c>
      <c r="G646" s="110">
        <f>+F646/E646*100</f>
        <v>78.330554133718181</v>
      </c>
      <c r="H646" s="110">
        <f>SUM((H647:H654))/8</f>
        <v>56.898000537909837</v>
      </c>
      <c r="I646" s="121"/>
    </row>
    <row r="647" spans="2:9" ht="18.75" hidden="1" customHeight="1" x14ac:dyDescent="0.25">
      <c r="B647" s="76"/>
      <c r="C647" s="226"/>
      <c r="D647" s="232" t="s">
        <v>644</v>
      </c>
      <c r="E647" s="233">
        <v>488000000</v>
      </c>
      <c r="F647" s="221">
        <v>440097941</v>
      </c>
      <c r="G647" s="235">
        <f>+F647/E647*100</f>
        <v>90.184004303278684</v>
      </c>
      <c r="H647" s="235">
        <f t="shared" si="36"/>
        <v>90.184004303278684</v>
      </c>
      <c r="I647" s="111"/>
    </row>
    <row r="648" spans="2:9" ht="16.5" hidden="1" customHeight="1" x14ac:dyDescent="0.25">
      <c r="B648" s="76"/>
      <c r="C648" s="226"/>
      <c r="D648" s="232" t="s">
        <v>645</v>
      </c>
      <c r="E648" s="233">
        <v>470000000</v>
      </c>
      <c r="F648" s="221">
        <v>452577100</v>
      </c>
      <c r="G648" s="235">
        <f>+F648/E648*100</f>
        <v>96.292999999999992</v>
      </c>
      <c r="H648" s="235">
        <v>100</v>
      </c>
      <c r="I648" s="111"/>
    </row>
    <row r="649" spans="2:9" ht="16.5" hidden="1" customHeight="1" x14ac:dyDescent="0.25">
      <c r="B649" s="76"/>
      <c r="C649" s="226"/>
      <c r="D649" s="232" t="s">
        <v>646</v>
      </c>
      <c r="E649" s="233">
        <v>318300000</v>
      </c>
      <c r="F649" s="221">
        <v>255292700</v>
      </c>
      <c r="G649" s="235">
        <f>+F649/E649*100</f>
        <v>80.205058121269246</v>
      </c>
      <c r="H649" s="235">
        <v>85</v>
      </c>
      <c r="I649" s="111"/>
    </row>
    <row r="650" spans="2:9" ht="18.75" hidden="1" customHeight="1" x14ac:dyDescent="0.25">
      <c r="B650" s="76"/>
      <c r="C650" s="226"/>
      <c r="D650" s="232" t="s">
        <v>647</v>
      </c>
      <c r="E650" s="233">
        <v>0</v>
      </c>
      <c r="F650" s="221">
        <v>0</v>
      </c>
      <c r="G650" s="235">
        <v>0</v>
      </c>
      <c r="H650" s="235">
        <f t="shared" si="36"/>
        <v>0</v>
      </c>
      <c r="I650" s="111"/>
    </row>
    <row r="651" spans="2:9" ht="16.5" hidden="1" customHeight="1" x14ac:dyDescent="0.25">
      <c r="B651" s="76"/>
      <c r="C651" s="226"/>
      <c r="D651" s="232" t="s">
        <v>648</v>
      </c>
      <c r="E651" s="233">
        <v>588000000</v>
      </c>
      <c r="F651" s="221">
        <v>588000000</v>
      </c>
      <c r="G651" s="235"/>
      <c r="H651" s="235">
        <f t="shared" si="36"/>
        <v>0</v>
      </c>
      <c r="I651" s="111"/>
    </row>
    <row r="652" spans="2:9" ht="16.5" hidden="1" customHeight="1" x14ac:dyDescent="0.25">
      <c r="B652" s="76"/>
      <c r="C652" s="226"/>
      <c r="D652" s="232" t="s">
        <v>649</v>
      </c>
      <c r="E652" s="233">
        <v>612800000</v>
      </c>
      <c r="F652" s="221">
        <v>606688800</v>
      </c>
      <c r="G652" s="235">
        <f>+F652/E652*100</f>
        <v>99.002741514360309</v>
      </c>
      <c r="H652" s="235">
        <v>100</v>
      </c>
      <c r="I652" s="111"/>
    </row>
    <row r="653" spans="2:9" ht="16.5" hidden="1" customHeight="1" x14ac:dyDescent="0.25">
      <c r="B653" s="76"/>
      <c r="C653" s="226"/>
      <c r="D653" s="232" t="s">
        <v>650</v>
      </c>
      <c r="E653" s="233">
        <v>800000000</v>
      </c>
      <c r="F653" s="221">
        <v>569995000</v>
      </c>
      <c r="G653" s="235">
        <f>+F653/E653*100</f>
        <v>71.249375000000001</v>
      </c>
      <c r="H653" s="235">
        <v>80</v>
      </c>
      <c r="I653" s="111"/>
    </row>
    <row r="654" spans="2:9" ht="16.5" hidden="1" customHeight="1" x14ac:dyDescent="0.25">
      <c r="B654" s="76"/>
      <c r="C654" s="226"/>
      <c r="D654" s="232" t="s">
        <v>651</v>
      </c>
      <c r="E654" s="233">
        <v>441310489</v>
      </c>
      <c r="F654" s="221">
        <v>0</v>
      </c>
      <c r="G654" s="235"/>
      <c r="H654" s="235">
        <f t="shared" si="36"/>
        <v>0</v>
      </c>
      <c r="I654" s="111"/>
    </row>
    <row r="655" spans="2:9" s="115" customFormat="1" ht="16.5" hidden="1" customHeight="1" x14ac:dyDescent="0.25">
      <c r="B655" s="157"/>
      <c r="C655" s="222"/>
      <c r="D655" s="231" t="s">
        <v>652</v>
      </c>
      <c r="E655" s="230">
        <f>SUM(E656:E657)</f>
        <v>3663168511</v>
      </c>
      <c r="F655" s="220">
        <f>SUM(F656:F657)</f>
        <v>3504538850</v>
      </c>
      <c r="G655" s="110">
        <f>+F655/E655*100</f>
        <v>95.669605137638186</v>
      </c>
      <c r="H655" s="110">
        <v>100</v>
      </c>
      <c r="I655" s="121"/>
    </row>
    <row r="656" spans="2:9" ht="16.5" hidden="1" customHeight="1" x14ac:dyDescent="0.25">
      <c r="B656" s="76"/>
      <c r="C656" s="226"/>
      <c r="D656" s="232" t="s">
        <v>653</v>
      </c>
      <c r="E656" s="233">
        <v>2394200000</v>
      </c>
      <c r="F656" s="221">
        <v>2282830100</v>
      </c>
      <c r="G656" s="235">
        <f>+F656/E656*100</f>
        <v>95.348346002840202</v>
      </c>
      <c r="H656" s="235">
        <v>100</v>
      </c>
      <c r="I656" s="111"/>
    </row>
    <row r="657" spans="2:9" s="115" customFormat="1" ht="16.5" hidden="1" customHeight="1" x14ac:dyDescent="0.25">
      <c r="B657" s="157"/>
      <c r="C657" s="222"/>
      <c r="D657" s="232" t="s">
        <v>654</v>
      </c>
      <c r="E657" s="233">
        <v>1268968511</v>
      </c>
      <c r="F657" s="221">
        <v>1221708750</v>
      </c>
      <c r="G657" s="235">
        <f>+F657/E657*100</f>
        <v>96.275734142310796</v>
      </c>
      <c r="H657" s="235">
        <v>100</v>
      </c>
      <c r="I657" s="121"/>
    </row>
    <row r="658" spans="2:9" ht="16.5" hidden="1" customHeight="1" x14ac:dyDescent="0.25">
      <c r="B658" s="76"/>
      <c r="C658" s="226"/>
      <c r="D658" s="32"/>
      <c r="E658" s="172"/>
      <c r="F658" s="108"/>
      <c r="G658" s="235"/>
      <c r="H658" s="110"/>
      <c r="I658" s="111"/>
    </row>
    <row r="659" spans="2:9" ht="16.5" hidden="1" customHeight="1" x14ac:dyDescent="0.25">
      <c r="B659" s="76"/>
      <c r="C659" s="226"/>
      <c r="D659" s="48" t="s">
        <v>655</v>
      </c>
      <c r="E659" s="112">
        <f>+E660</f>
        <v>127220434264</v>
      </c>
      <c r="F659" s="113">
        <f>+F660</f>
        <v>127220434264</v>
      </c>
      <c r="G659" s="110">
        <f>+F659/E659*100</f>
        <v>100</v>
      </c>
      <c r="H659" s="110">
        <f t="shared" ref="H659:H668" si="40">+G659</f>
        <v>100</v>
      </c>
      <c r="I659" s="111"/>
    </row>
    <row r="660" spans="2:9" ht="16.5" hidden="1" customHeight="1" x14ac:dyDescent="0.25">
      <c r="B660" s="76"/>
      <c r="C660" s="226"/>
      <c r="D660" s="48" t="s">
        <v>580</v>
      </c>
      <c r="E660" s="112">
        <f>+E661</f>
        <v>127220434264</v>
      </c>
      <c r="F660" s="113">
        <f>+F661</f>
        <v>127220434264</v>
      </c>
      <c r="G660" s="110">
        <f>+F660/E660*100</f>
        <v>100</v>
      </c>
      <c r="H660" s="110">
        <f t="shared" si="40"/>
        <v>100</v>
      </c>
      <c r="I660" s="111"/>
    </row>
    <row r="661" spans="2:9" ht="16.5" hidden="1" customHeight="1" x14ac:dyDescent="0.25">
      <c r="B661" s="76"/>
      <c r="C661" s="226"/>
      <c r="D661" s="32" t="s">
        <v>656</v>
      </c>
      <c r="E661" s="172">
        <v>127220434264</v>
      </c>
      <c r="F661" s="108">
        <v>127220434264</v>
      </c>
      <c r="G661" s="235">
        <f>+F661/E661*100</f>
        <v>100</v>
      </c>
      <c r="H661" s="235">
        <f t="shared" si="40"/>
        <v>100</v>
      </c>
      <c r="I661" s="111"/>
    </row>
    <row r="662" spans="2:9" ht="16.5" hidden="1" customHeight="1" x14ac:dyDescent="0.25">
      <c r="B662" s="76"/>
      <c r="C662" s="226"/>
      <c r="D662" s="32"/>
      <c r="E662" s="172"/>
      <c r="F662" s="108"/>
      <c r="G662" s="235"/>
      <c r="H662" s="110"/>
      <c r="I662" s="111"/>
    </row>
    <row r="663" spans="2:9" ht="16.5" hidden="1" customHeight="1" x14ac:dyDescent="0.25">
      <c r="B663" s="76"/>
      <c r="C663" s="226"/>
      <c r="D663" s="48" t="s">
        <v>657</v>
      </c>
      <c r="E663" s="112">
        <v>8500000000</v>
      </c>
      <c r="F663" s="108"/>
      <c r="G663" s="110">
        <f t="shared" ref="G663:G668" si="41">+F663/E663*100</f>
        <v>0</v>
      </c>
      <c r="H663" s="110">
        <f t="shared" si="40"/>
        <v>0</v>
      </c>
      <c r="I663" s="111"/>
    </row>
    <row r="664" spans="2:9" ht="16.5" hidden="1" customHeight="1" x14ac:dyDescent="0.25">
      <c r="B664" s="76"/>
      <c r="C664" s="226"/>
      <c r="D664" s="48" t="s">
        <v>151</v>
      </c>
      <c r="E664" s="112">
        <v>8500000000</v>
      </c>
      <c r="F664" s="108"/>
      <c r="G664" s="110">
        <f t="shared" si="41"/>
        <v>0</v>
      </c>
      <c r="H664" s="110">
        <f t="shared" si="40"/>
        <v>0</v>
      </c>
      <c r="I664" s="111"/>
    </row>
    <row r="665" spans="2:9" ht="16.5" hidden="1" customHeight="1" x14ac:dyDescent="0.25">
      <c r="B665" s="76"/>
      <c r="C665" s="226"/>
      <c r="D665" s="32" t="s">
        <v>658</v>
      </c>
      <c r="E665" s="172">
        <v>2139500000</v>
      </c>
      <c r="F665" s="108"/>
      <c r="G665" s="235">
        <f t="shared" si="41"/>
        <v>0</v>
      </c>
      <c r="H665" s="235">
        <f t="shared" si="40"/>
        <v>0</v>
      </c>
      <c r="I665" s="111"/>
    </row>
    <row r="666" spans="2:9" ht="16.5" hidden="1" customHeight="1" x14ac:dyDescent="0.25">
      <c r="B666" s="76"/>
      <c r="C666" s="226"/>
      <c r="D666" s="32" t="s">
        <v>152</v>
      </c>
      <c r="E666" s="172">
        <v>6032461000</v>
      </c>
      <c r="F666" s="108"/>
      <c r="G666" s="235">
        <f t="shared" si="41"/>
        <v>0</v>
      </c>
      <c r="H666" s="235">
        <f t="shared" si="40"/>
        <v>0</v>
      </c>
      <c r="I666" s="111"/>
    </row>
    <row r="667" spans="2:9" ht="16.5" hidden="1" customHeight="1" x14ac:dyDescent="0.25">
      <c r="B667" s="76"/>
      <c r="C667" s="226"/>
      <c r="D667" s="32" t="s">
        <v>590</v>
      </c>
      <c r="E667" s="172">
        <v>143039000</v>
      </c>
      <c r="F667" s="108"/>
      <c r="G667" s="235">
        <f t="shared" si="41"/>
        <v>0</v>
      </c>
      <c r="H667" s="235">
        <f t="shared" si="40"/>
        <v>0</v>
      </c>
      <c r="I667" s="111"/>
    </row>
    <row r="668" spans="2:9" ht="16.5" hidden="1" customHeight="1" x14ac:dyDescent="0.25">
      <c r="B668" s="76"/>
      <c r="C668" s="226"/>
      <c r="D668" s="32" t="s">
        <v>659</v>
      </c>
      <c r="E668" s="172">
        <v>185000000</v>
      </c>
      <c r="F668" s="108"/>
      <c r="G668" s="235">
        <f t="shared" si="41"/>
        <v>0</v>
      </c>
      <c r="H668" s="235">
        <f t="shared" si="40"/>
        <v>0</v>
      </c>
      <c r="I668" s="111"/>
    </row>
    <row r="669" spans="2:9" ht="16.5" hidden="1" customHeight="1" x14ac:dyDescent="0.25">
      <c r="B669" s="76"/>
      <c r="C669" s="226"/>
      <c r="D669" s="32"/>
      <c r="E669" s="172"/>
      <c r="F669" s="108"/>
      <c r="G669" s="235"/>
      <c r="H669" s="110"/>
      <c r="I669" s="111"/>
    </row>
    <row r="670" spans="2:9" s="115" customFormat="1" ht="16.5" hidden="1" customHeight="1" x14ac:dyDescent="0.25">
      <c r="B670" s="157"/>
      <c r="C670" s="222"/>
      <c r="D670" s="48" t="s">
        <v>660</v>
      </c>
      <c r="E670" s="112">
        <f>+E671</f>
        <v>2388080000</v>
      </c>
      <c r="F670" s="220">
        <f>+F671</f>
        <v>2265097096</v>
      </c>
      <c r="G670" s="110">
        <f>+F670/E670*100</f>
        <v>94.850134668855318</v>
      </c>
      <c r="H670" s="110">
        <f>H671</f>
        <v>92.5</v>
      </c>
      <c r="I670" s="121"/>
    </row>
    <row r="671" spans="2:9" s="115" customFormat="1" ht="16.5" hidden="1" customHeight="1" x14ac:dyDescent="0.25">
      <c r="B671" s="157"/>
      <c r="C671" s="222"/>
      <c r="D671" s="48" t="s">
        <v>608</v>
      </c>
      <c r="E671" s="112">
        <f>+E672+E673</f>
        <v>2388080000</v>
      </c>
      <c r="F671" s="220">
        <f>+F672+F673</f>
        <v>2265097096</v>
      </c>
      <c r="G671" s="110">
        <f>+F671/E671*100</f>
        <v>94.850134668855318</v>
      </c>
      <c r="H671" s="110">
        <f>(H672+H673)/2</f>
        <v>92.5</v>
      </c>
      <c r="I671" s="121"/>
    </row>
    <row r="672" spans="2:9" ht="16.5" hidden="1" customHeight="1" x14ac:dyDescent="0.25">
      <c r="B672" s="76"/>
      <c r="C672" s="226"/>
      <c r="D672" s="32" t="s">
        <v>661</v>
      </c>
      <c r="E672" s="172">
        <v>1688080000</v>
      </c>
      <c r="F672" s="221">
        <v>1686191096</v>
      </c>
      <c r="G672" s="235">
        <f>+F672/E672*100</f>
        <v>99.888103407421454</v>
      </c>
      <c r="H672" s="235">
        <v>100</v>
      </c>
      <c r="I672" s="111"/>
    </row>
    <row r="673" spans="2:9" ht="18.75" hidden="1" customHeight="1" x14ac:dyDescent="0.25">
      <c r="B673" s="76"/>
      <c r="C673" s="226"/>
      <c r="D673" s="119" t="s">
        <v>662</v>
      </c>
      <c r="E673" s="172">
        <v>700000000</v>
      </c>
      <c r="F673" s="221">
        <v>578906000</v>
      </c>
      <c r="G673" s="235">
        <f>+F673/E673*100</f>
        <v>82.700857142857146</v>
      </c>
      <c r="H673" s="235">
        <v>85</v>
      </c>
      <c r="I673" s="111"/>
    </row>
    <row r="674" spans="2:9" ht="16.5" hidden="1" customHeight="1" x14ac:dyDescent="0.25">
      <c r="B674" s="76"/>
      <c r="C674" s="226"/>
      <c r="D674" s="32"/>
      <c r="E674" s="172"/>
      <c r="F674" s="108"/>
      <c r="G674" s="235"/>
      <c r="H674" s="110"/>
      <c r="I674" s="111"/>
    </row>
    <row r="675" spans="2:9" s="115" customFormat="1" ht="16.5" hidden="1" customHeight="1" x14ac:dyDescent="0.25">
      <c r="B675" s="157"/>
      <c r="C675" s="222"/>
      <c r="D675" s="48" t="s">
        <v>663</v>
      </c>
      <c r="E675" s="112">
        <f>+E676+E681+E683</f>
        <v>5000000000</v>
      </c>
      <c r="F675" s="220">
        <f>+F676+F681+F683</f>
        <v>4813305280</v>
      </c>
      <c r="G675" s="110">
        <f t="shared" ref="G675:G684" si="42">+F675/E675*100</f>
        <v>96.266105600000003</v>
      </c>
      <c r="H675" s="110">
        <f>(H676+H681+H683)/3</f>
        <v>98.75</v>
      </c>
      <c r="I675" s="121"/>
    </row>
    <row r="676" spans="2:9" s="115" customFormat="1" ht="16.5" hidden="1" customHeight="1" x14ac:dyDescent="0.25">
      <c r="B676" s="157"/>
      <c r="C676" s="222"/>
      <c r="D676" s="48" t="s">
        <v>664</v>
      </c>
      <c r="E676" s="112">
        <f>+E677+E678+E679+E680</f>
        <v>3381480000</v>
      </c>
      <c r="F676" s="220">
        <f>+F677+F678+F679+F680</f>
        <v>3200225483</v>
      </c>
      <c r="G676" s="110">
        <f t="shared" si="42"/>
        <v>94.639787400783092</v>
      </c>
      <c r="H676" s="110">
        <f>SUM((H677:H680))/4</f>
        <v>96.25</v>
      </c>
      <c r="I676" s="121"/>
    </row>
    <row r="677" spans="2:9" ht="16.5" hidden="1" customHeight="1" x14ac:dyDescent="0.25">
      <c r="B677" s="76"/>
      <c r="C677" s="226"/>
      <c r="D677" s="32" t="s">
        <v>665</v>
      </c>
      <c r="E677" s="172">
        <v>911480000</v>
      </c>
      <c r="F677" s="221">
        <v>746296693</v>
      </c>
      <c r="G677" s="235">
        <f t="shared" si="42"/>
        <v>81.877462259182863</v>
      </c>
      <c r="H677" s="235">
        <v>85</v>
      </c>
      <c r="I677" s="111"/>
    </row>
    <row r="678" spans="2:9" ht="16.5" hidden="1" customHeight="1" x14ac:dyDescent="0.25">
      <c r="B678" s="76"/>
      <c r="C678" s="226"/>
      <c r="D678" s="32" t="s">
        <v>666</v>
      </c>
      <c r="E678" s="172">
        <v>376000000</v>
      </c>
      <c r="F678" s="221">
        <v>366504800</v>
      </c>
      <c r="G678" s="235">
        <f t="shared" si="42"/>
        <v>97.474680851063837</v>
      </c>
      <c r="H678" s="235">
        <v>100</v>
      </c>
      <c r="I678" s="111"/>
    </row>
    <row r="679" spans="2:9" ht="29.25" hidden="1" customHeight="1" x14ac:dyDescent="0.25">
      <c r="B679" s="76"/>
      <c r="C679" s="226"/>
      <c r="D679" s="119" t="s">
        <v>667</v>
      </c>
      <c r="E679" s="172">
        <v>1300000000</v>
      </c>
      <c r="F679" s="221">
        <v>1295722870</v>
      </c>
      <c r="G679" s="235">
        <f t="shared" si="42"/>
        <v>99.670990000000003</v>
      </c>
      <c r="H679" s="235">
        <v>100</v>
      </c>
      <c r="I679" s="111"/>
    </row>
    <row r="680" spans="2:9" ht="16.5" hidden="1" customHeight="1" x14ac:dyDescent="0.25">
      <c r="B680" s="76"/>
      <c r="C680" s="226"/>
      <c r="D680" s="32" t="s">
        <v>668</v>
      </c>
      <c r="E680" s="172">
        <v>794000000</v>
      </c>
      <c r="F680" s="221">
        <v>791701120</v>
      </c>
      <c r="G680" s="235">
        <f t="shared" si="42"/>
        <v>99.710468513853897</v>
      </c>
      <c r="H680" s="235">
        <v>100</v>
      </c>
      <c r="I680" s="111"/>
    </row>
    <row r="681" spans="2:9" s="115" customFormat="1" ht="16.5" hidden="1" customHeight="1" x14ac:dyDescent="0.25">
      <c r="B681" s="157"/>
      <c r="C681" s="222"/>
      <c r="D681" s="48" t="s">
        <v>669</v>
      </c>
      <c r="E681" s="112">
        <f>+E682</f>
        <v>1100000000</v>
      </c>
      <c r="F681" s="220">
        <f>+F682</f>
        <v>1097636897</v>
      </c>
      <c r="G681" s="110">
        <f t="shared" si="42"/>
        <v>99.78517245454546</v>
      </c>
      <c r="H681" s="110">
        <f>H682</f>
        <v>100</v>
      </c>
      <c r="I681" s="121"/>
    </row>
    <row r="682" spans="2:9" ht="18.75" hidden="1" customHeight="1" x14ac:dyDescent="0.25">
      <c r="B682" s="76"/>
      <c r="C682" s="226"/>
      <c r="D682" s="119" t="s">
        <v>670</v>
      </c>
      <c r="E682" s="172">
        <v>1100000000</v>
      </c>
      <c r="F682" s="221">
        <v>1097636897</v>
      </c>
      <c r="G682" s="235">
        <f t="shared" si="42"/>
        <v>99.78517245454546</v>
      </c>
      <c r="H682" s="235">
        <v>100</v>
      </c>
      <c r="I682" s="111"/>
    </row>
    <row r="683" spans="2:9" s="115" customFormat="1" ht="16.5" hidden="1" customHeight="1" x14ac:dyDescent="0.25">
      <c r="B683" s="157"/>
      <c r="C683" s="222"/>
      <c r="D683" s="48" t="s">
        <v>671</v>
      </c>
      <c r="E683" s="112">
        <f>+E684</f>
        <v>518520000</v>
      </c>
      <c r="F683" s="220">
        <f>+F684</f>
        <v>515442900</v>
      </c>
      <c r="G683" s="110">
        <f t="shared" si="42"/>
        <v>99.406560981254344</v>
      </c>
      <c r="H683" s="110">
        <f>H684</f>
        <v>100</v>
      </c>
      <c r="I683" s="121"/>
    </row>
    <row r="684" spans="2:9" ht="16.5" hidden="1" customHeight="1" x14ac:dyDescent="0.25">
      <c r="B684" s="76"/>
      <c r="C684" s="226"/>
      <c r="D684" s="32" t="s">
        <v>672</v>
      </c>
      <c r="E684" s="172">
        <v>518520000</v>
      </c>
      <c r="F684" s="221">
        <v>515442900</v>
      </c>
      <c r="G684" s="235">
        <f t="shared" si="42"/>
        <v>99.406560981254344</v>
      </c>
      <c r="H684" s="235">
        <v>100</v>
      </c>
      <c r="I684" s="111"/>
    </row>
    <row r="685" spans="2:9" ht="12.75" hidden="1" customHeight="1" x14ac:dyDescent="0.25">
      <c r="B685" s="76"/>
      <c r="C685" s="226"/>
      <c r="D685" s="106"/>
      <c r="E685" s="107"/>
      <c r="F685" s="108"/>
      <c r="G685" s="235"/>
      <c r="H685" s="110"/>
      <c r="I685" s="111"/>
    </row>
    <row r="686" spans="2:9" ht="16.5" customHeight="1" x14ac:dyDescent="0.25">
      <c r="B686" s="76"/>
      <c r="C686" s="222" t="s">
        <v>673</v>
      </c>
      <c r="D686" s="48" t="s">
        <v>674</v>
      </c>
      <c r="E686" s="112">
        <f>+E687+E839+E1087+E1302+E1581+E1803+E2044+E2312+E2472+E2594+E2739+E2894+E3040+E3267+E3415+E3544+E3704+E3841+E3953+E4207+E4344+E4460+E4548+E4676+E4852+E4965+E5181+E5341+E5517</f>
        <v>3089178868000</v>
      </c>
      <c r="F686" s="113">
        <f>F687+F839+F1087+F1302+F1803+F2044+F2312+F2472+F2594+F2739+F2894+F3040+F3267+F3415+F3544+F3704+F3841+F3953+F4207+F4344+F4460+F4548+F4676+F4852+F4965+F1581+F5181+F5341+F5517</f>
        <v>2708961963710.52</v>
      </c>
      <c r="G686" s="110">
        <f>F686/E686*100</f>
        <v>87.691975099660041</v>
      </c>
      <c r="H686" s="114">
        <f>(H687+H839+H1087+H1302+H1803+H2044+H2312+H2472+H2594+H2739+H2894+H3040+H3267+H3415+H3544+H3704+H3841+H3953+H4207+H4344+H4460+H4548+H4676+H4852+H4965+H1581+H5181+H5341+H5517)/29</f>
        <v>88.794491983577274</v>
      </c>
      <c r="I686" s="111"/>
    </row>
    <row r="687" spans="2:9" s="115" customFormat="1" ht="16.5" customHeight="1" x14ac:dyDescent="0.25">
      <c r="C687" s="222" t="s">
        <v>675</v>
      </c>
      <c r="D687" s="236" t="s">
        <v>676</v>
      </c>
      <c r="E687" s="195">
        <f>E688+E713+E743+E749+E753+E760+E776+E789+E797+E803+E816+E826+E830+E834</f>
        <v>102513472000</v>
      </c>
      <c r="F687" s="242">
        <f>F688+F713+F743+F749+F753+F760+F776+F789+F797+F803+F816+F826+F830+F834</f>
        <v>81616412360</v>
      </c>
      <c r="G687" s="333">
        <f>F687/E687*100</f>
        <v>79.615303986582362</v>
      </c>
      <c r="H687" s="333">
        <f>(H688+H713+H743+H749+H753+H760+H776+H789+H797+H803+H816+H826+H830+H834)/14</f>
        <v>85.29443413729129</v>
      </c>
      <c r="I687" s="121"/>
    </row>
    <row r="688" spans="2:9" ht="16.5" hidden="1" customHeight="1" x14ac:dyDescent="0.25">
      <c r="C688" s="226"/>
      <c r="D688" s="237" t="s">
        <v>678</v>
      </c>
      <c r="E688" s="195">
        <v>21854041600</v>
      </c>
      <c r="F688" s="385">
        <f>F689+F691+F703+F705+F708+F710</f>
        <v>18308536400</v>
      </c>
      <c r="G688" s="386">
        <f>F688/E688*100</f>
        <v>83.776432456319654</v>
      </c>
      <c r="H688" s="386">
        <f>(H689+H691+H703+H705+H708+H710)/6</f>
        <v>86.159090909090921</v>
      </c>
      <c r="I688" s="111"/>
    </row>
    <row r="689" spans="3:9" ht="16.5" hidden="1" customHeight="1" x14ac:dyDescent="0.25">
      <c r="C689" s="226"/>
      <c r="D689" s="238" t="s">
        <v>396</v>
      </c>
      <c r="E689" s="195">
        <v>271900000</v>
      </c>
      <c r="F689" s="385">
        <f>SUM(F690:F690)</f>
        <v>269400000</v>
      </c>
      <c r="G689" s="386">
        <f>SUM(G690:G690)</f>
        <v>99.080544317763881</v>
      </c>
      <c r="H689" s="386">
        <f>SUM(H690:H690)/1</f>
        <v>100</v>
      </c>
      <c r="I689" s="111"/>
    </row>
    <row r="690" spans="3:9" ht="16.5" hidden="1" customHeight="1" x14ac:dyDescent="0.25">
      <c r="C690" s="226"/>
      <c r="D690" s="239" t="s">
        <v>679</v>
      </c>
      <c r="E690" s="116">
        <v>271900000</v>
      </c>
      <c r="F690" s="387">
        <v>269400000</v>
      </c>
      <c r="G690" s="388">
        <f t="shared" ref="G690:G697" si="43">F690/E690*100</f>
        <v>99.080544317763881</v>
      </c>
      <c r="H690" s="388">
        <v>100</v>
      </c>
      <c r="I690" s="111"/>
    </row>
    <row r="691" spans="3:9" ht="16.5" hidden="1" customHeight="1" x14ac:dyDescent="0.25">
      <c r="C691" s="226"/>
      <c r="D691" s="238" t="s">
        <v>680</v>
      </c>
      <c r="E691" s="195">
        <v>18544295000</v>
      </c>
      <c r="F691" s="385">
        <f>SUM(F692:F702)</f>
        <v>15611741400</v>
      </c>
      <c r="G691" s="386">
        <f t="shared" si="43"/>
        <v>84.186222231689044</v>
      </c>
      <c r="H691" s="386">
        <f>SUM(H692:H702)/11</f>
        <v>82.454545454545453</v>
      </c>
      <c r="I691" s="111"/>
    </row>
    <row r="692" spans="3:9" ht="18.75" hidden="1" customHeight="1" x14ac:dyDescent="0.25">
      <c r="C692" s="226"/>
      <c r="D692" s="239" t="s">
        <v>681</v>
      </c>
      <c r="E692" s="116">
        <v>412500000</v>
      </c>
      <c r="F692" s="387">
        <v>410190000</v>
      </c>
      <c r="G692" s="388">
        <f t="shared" si="43"/>
        <v>99.44</v>
      </c>
      <c r="H692" s="388">
        <v>100</v>
      </c>
      <c r="I692" s="111"/>
    </row>
    <row r="693" spans="3:9" ht="16.5" hidden="1" customHeight="1" x14ac:dyDescent="0.25">
      <c r="C693" s="226"/>
      <c r="D693" s="239" t="s">
        <v>682</v>
      </c>
      <c r="E693" s="116">
        <v>8610000000</v>
      </c>
      <c r="F693" s="387">
        <v>7936200000</v>
      </c>
      <c r="G693" s="388">
        <f t="shared" si="43"/>
        <v>92.174216027874564</v>
      </c>
      <c r="H693" s="388">
        <v>95</v>
      </c>
      <c r="I693" s="111"/>
    </row>
    <row r="694" spans="3:9" ht="18.75" hidden="1" customHeight="1" x14ac:dyDescent="0.25">
      <c r="C694" s="226"/>
      <c r="D694" s="239" t="s">
        <v>683</v>
      </c>
      <c r="E694" s="116">
        <v>397250000</v>
      </c>
      <c r="F694" s="387">
        <v>394151000</v>
      </c>
      <c r="G694" s="388">
        <f t="shared" si="43"/>
        <v>99.219886721208312</v>
      </c>
      <c r="H694" s="388">
        <v>100</v>
      </c>
      <c r="I694" s="111"/>
    </row>
    <row r="695" spans="3:9" ht="18.75" hidden="1" customHeight="1" x14ac:dyDescent="0.25">
      <c r="C695" s="226"/>
      <c r="D695" s="239" t="s">
        <v>684</v>
      </c>
      <c r="E695" s="116">
        <v>3315600000</v>
      </c>
      <c r="F695" s="387">
        <v>3315600000</v>
      </c>
      <c r="G695" s="388">
        <f t="shared" si="43"/>
        <v>100</v>
      </c>
      <c r="H695" s="388">
        <v>100</v>
      </c>
      <c r="I695" s="111"/>
    </row>
    <row r="696" spans="3:9" ht="54" hidden="1" customHeight="1" x14ac:dyDescent="0.25">
      <c r="C696" s="226"/>
      <c r="D696" s="239" t="s">
        <v>685</v>
      </c>
      <c r="E696" s="116">
        <v>377966000</v>
      </c>
      <c r="F696" s="387">
        <v>376000000</v>
      </c>
      <c r="G696" s="388">
        <f t="shared" si="43"/>
        <v>99.479847393680913</v>
      </c>
      <c r="H696" s="388">
        <v>100</v>
      </c>
      <c r="I696" s="111"/>
    </row>
    <row r="697" spans="3:9" ht="18.75" hidden="1" customHeight="1" x14ac:dyDescent="0.25">
      <c r="C697" s="226"/>
      <c r="D697" s="239" t="s">
        <v>686</v>
      </c>
      <c r="E697" s="116">
        <v>2349435000</v>
      </c>
      <c r="F697" s="387">
        <v>1606739400</v>
      </c>
      <c r="G697" s="388">
        <f t="shared" si="43"/>
        <v>68.388331662718898</v>
      </c>
      <c r="H697" s="388">
        <v>70</v>
      </c>
      <c r="I697" s="111"/>
    </row>
    <row r="698" spans="3:9" ht="35.1" hidden="1" customHeight="1" x14ac:dyDescent="0.25">
      <c r="C698" s="226"/>
      <c r="D698" s="239" t="s">
        <v>687</v>
      </c>
      <c r="E698" s="116">
        <v>138730000</v>
      </c>
      <c r="F698" s="387">
        <v>0</v>
      </c>
      <c r="G698" s="388"/>
      <c r="H698" s="388">
        <v>0</v>
      </c>
      <c r="I698" s="111"/>
    </row>
    <row r="699" spans="3:9" ht="18.75" hidden="1" customHeight="1" x14ac:dyDescent="0.25">
      <c r="C699" s="226"/>
      <c r="D699" s="239" t="s">
        <v>688</v>
      </c>
      <c r="E699" s="116">
        <v>251611000</v>
      </c>
      <c r="F699" s="387">
        <v>193961000</v>
      </c>
      <c r="G699" s="388">
        <f t="shared" ref="G699:G707" si="44">F699/E699*100</f>
        <v>77.087647201433967</v>
      </c>
      <c r="H699" s="388">
        <v>80</v>
      </c>
      <c r="I699" s="111"/>
    </row>
    <row r="700" spans="3:9" ht="18.75" hidden="1" customHeight="1" x14ac:dyDescent="0.25">
      <c r="C700" s="226"/>
      <c r="D700" s="239" t="s">
        <v>689</v>
      </c>
      <c r="E700" s="116">
        <v>324495000</v>
      </c>
      <c r="F700" s="387">
        <v>277100000</v>
      </c>
      <c r="G700" s="388">
        <f t="shared" si="44"/>
        <v>85.394227954205775</v>
      </c>
      <c r="H700" s="388">
        <v>87</v>
      </c>
      <c r="I700" s="111"/>
    </row>
    <row r="701" spans="3:9" ht="35.1" hidden="1" customHeight="1" x14ac:dyDescent="0.25">
      <c r="C701" s="226"/>
      <c r="D701" s="239" t="s">
        <v>690</v>
      </c>
      <c r="E701" s="116">
        <v>588308000</v>
      </c>
      <c r="F701" s="387">
        <v>584000000</v>
      </c>
      <c r="G701" s="388">
        <f t="shared" si="44"/>
        <v>99.267730508509146</v>
      </c>
      <c r="H701" s="388">
        <v>100</v>
      </c>
      <c r="I701" s="111"/>
    </row>
    <row r="702" spans="3:9" ht="16.5" hidden="1" customHeight="1" x14ac:dyDescent="0.25">
      <c r="C702" s="226"/>
      <c r="D702" s="239" t="s">
        <v>691</v>
      </c>
      <c r="E702" s="116">
        <v>1778400000</v>
      </c>
      <c r="F702" s="387">
        <v>517800000</v>
      </c>
      <c r="G702" s="388">
        <f t="shared" si="44"/>
        <v>29.116059379217273</v>
      </c>
      <c r="H702" s="388">
        <v>75</v>
      </c>
      <c r="I702" s="111"/>
    </row>
    <row r="703" spans="3:9" ht="16.5" hidden="1" customHeight="1" x14ac:dyDescent="0.25">
      <c r="C703" s="226"/>
      <c r="D703" s="238" t="s">
        <v>405</v>
      </c>
      <c r="E703" s="195">
        <v>328100000</v>
      </c>
      <c r="F703" s="385">
        <f>F704</f>
        <v>291475000</v>
      </c>
      <c r="G703" s="386">
        <f t="shared" si="44"/>
        <v>88.837244742456562</v>
      </c>
      <c r="H703" s="386">
        <f>H704/1</f>
        <v>90</v>
      </c>
      <c r="I703" s="111"/>
    </row>
    <row r="704" spans="3:9" ht="16.5" hidden="1" customHeight="1" x14ac:dyDescent="0.25">
      <c r="C704" s="226"/>
      <c r="D704" s="239" t="s">
        <v>692</v>
      </c>
      <c r="E704" s="116">
        <v>328100000</v>
      </c>
      <c r="F704" s="387">
        <v>291475000</v>
      </c>
      <c r="G704" s="388">
        <f t="shared" si="44"/>
        <v>88.837244742456562</v>
      </c>
      <c r="H704" s="388">
        <v>90</v>
      </c>
      <c r="I704" s="111"/>
    </row>
    <row r="705" spans="3:9" ht="16.5" hidden="1" customHeight="1" x14ac:dyDescent="0.25">
      <c r="C705" s="226"/>
      <c r="D705" s="238" t="s">
        <v>693</v>
      </c>
      <c r="E705" s="195">
        <v>1008000000</v>
      </c>
      <c r="F705" s="385">
        <f>SUM(F706:F707)</f>
        <v>840000000</v>
      </c>
      <c r="G705" s="386">
        <f t="shared" si="44"/>
        <v>83.333333333333343</v>
      </c>
      <c r="H705" s="386">
        <f>SUM(H706:H707)/2</f>
        <v>87.5</v>
      </c>
      <c r="I705" s="111"/>
    </row>
    <row r="706" spans="3:9" ht="16.5" hidden="1" customHeight="1" x14ac:dyDescent="0.25">
      <c r="C706" s="226"/>
      <c r="D706" s="239" t="s">
        <v>694</v>
      </c>
      <c r="E706" s="116">
        <v>420000000</v>
      </c>
      <c r="F706" s="387">
        <v>378000000</v>
      </c>
      <c r="G706" s="388">
        <f t="shared" si="44"/>
        <v>90</v>
      </c>
      <c r="H706" s="388">
        <v>95</v>
      </c>
      <c r="I706" s="111"/>
    </row>
    <row r="707" spans="3:9" ht="16.5" hidden="1" customHeight="1" x14ac:dyDescent="0.25">
      <c r="C707" s="226"/>
      <c r="D707" s="239" t="s">
        <v>695</v>
      </c>
      <c r="E707" s="116">
        <v>588000000</v>
      </c>
      <c r="F707" s="387">
        <v>462000000</v>
      </c>
      <c r="G707" s="388">
        <f t="shared" si="44"/>
        <v>78.571428571428569</v>
      </c>
      <c r="H707" s="388">
        <v>80</v>
      </c>
      <c r="I707" s="111"/>
    </row>
    <row r="708" spans="3:9" ht="16.5" hidden="1" customHeight="1" x14ac:dyDescent="0.25">
      <c r="C708" s="226"/>
      <c r="D708" s="238" t="s">
        <v>92</v>
      </c>
      <c r="E708" s="195">
        <v>1245000000</v>
      </c>
      <c r="F708" s="385">
        <f>SUM(F709)</f>
        <v>942895000</v>
      </c>
      <c r="G708" s="386">
        <f>SUM(G709)</f>
        <v>75.73453815261044</v>
      </c>
      <c r="H708" s="386">
        <f>SUM(H709)/1</f>
        <v>77</v>
      </c>
      <c r="I708" s="111"/>
    </row>
    <row r="709" spans="3:9" ht="16.5" hidden="1" customHeight="1" x14ac:dyDescent="0.25">
      <c r="C709" s="226"/>
      <c r="D709" s="239" t="s">
        <v>696</v>
      </c>
      <c r="E709" s="116">
        <v>1245000000</v>
      </c>
      <c r="F709" s="387">
        <v>942895000</v>
      </c>
      <c r="G709" s="388">
        <f>F709/E709*100</f>
        <v>75.73453815261044</v>
      </c>
      <c r="H709" s="388">
        <v>77</v>
      </c>
      <c r="I709" s="111"/>
    </row>
    <row r="710" spans="3:9" ht="16.5" hidden="1" customHeight="1" x14ac:dyDescent="0.25">
      <c r="C710" s="226"/>
      <c r="D710" s="238" t="s">
        <v>109</v>
      </c>
      <c r="E710" s="195">
        <v>456746600</v>
      </c>
      <c r="F710" s="385">
        <f>SUM(F711)</f>
        <v>353025000</v>
      </c>
      <c r="G710" s="386">
        <f>F710/E710*100</f>
        <v>77.291215741945322</v>
      </c>
      <c r="H710" s="386">
        <f>SUM(H711)/1</f>
        <v>80</v>
      </c>
      <c r="I710" s="111"/>
    </row>
    <row r="711" spans="3:9" ht="18.75" hidden="1" customHeight="1" x14ac:dyDescent="0.25">
      <c r="C711" s="226"/>
      <c r="D711" s="239" t="s">
        <v>697</v>
      </c>
      <c r="E711" s="116">
        <v>456746600</v>
      </c>
      <c r="F711" s="387">
        <v>353025000</v>
      </c>
      <c r="G711" s="388">
        <f>F711/E711*100</f>
        <v>77.291215741945322</v>
      </c>
      <c r="H711" s="388">
        <v>80</v>
      </c>
      <c r="I711" s="111"/>
    </row>
    <row r="712" spans="3:9" ht="10.5" hidden="1" customHeight="1" x14ac:dyDescent="0.25">
      <c r="C712" s="226"/>
      <c r="D712" s="239"/>
      <c r="E712" s="116"/>
      <c r="F712" s="108"/>
      <c r="G712" s="117"/>
      <c r="H712" s="117"/>
      <c r="I712" s="111"/>
    </row>
    <row r="713" spans="3:9" ht="16.5" hidden="1" customHeight="1" x14ac:dyDescent="0.25">
      <c r="C713" s="226"/>
      <c r="D713" s="237" t="s">
        <v>150</v>
      </c>
      <c r="E713" s="116">
        <v>15377020800</v>
      </c>
      <c r="F713" s="385">
        <f>F714+F722+F724+F727+F739</f>
        <v>9742883245</v>
      </c>
      <c r="G713" s="386">
        <f t="shared" ref="G713:G741" si="45">F713/E713*100</f>
        <v>63.360018638981096</v>
      </c>
      <c r="H713" s="386">
        <f>(H714+H722+H724+H727+H739)/5</f>
        <v>78.412987012987017</v>
      </c>
      <c r="I713" s="111"/>
    </row>
    <row r="714" spans="3:9" ht="16.5" hidden="1" customHeight="1" x14ac:dyDescent="0.25">
      <c r="C714" s="226"/>
      <c r="D714" s="238" t="s">
        <v>166</v>
      </c>
      <c r="E714" s="116">
        <v>7829721800</v>
      </c>
      <c r="F714" s="385">
        <f>SUM(F715:F721)</f>
        <v>4593483570</v>
      </c>
      <c r="G714" s="386">
        <f t="shared" si="45"/>
        <v>58.667264142130826</v>
      </c>
      <c r="H714" s="386">
        <f>SUM(H715:H721)/7</f>
        <v>67.428571428571431</v>
      </c>
      <c r="I714" s="111"/>
    </row>
    <row r="715" spans="3:9" ht="16.5" hidden="1" customHeight="1" x14ac:dyDescent="0.25">
      <c r="C715" s="226"/>
      <c r="D715" s="239" t="s">
        <v>698</v>
      </c>
      <c r="E715" s="116">
        <v>3780000000</v>
      </c>
      <c r="F715" s="387">
        <v>1938600000</v>
      </c>
      <c r="G715" s="388">
        <f t="shared" si="45"/>
        <v>51.285714285714292</v>
      </c>
      <c r="H715" s="388">
        <v>55</v>
      </c>
      <c r="I715" s="111"/>
    </row>
    <row r="716" spans="3:9" ht="16.5" hidden="1" customHeight="1" x14ac:dyDescent="0.25">
      <c r="C716" s="226"/>
      <c r="D716" s="239" t="s">
        <v>699</v>
      </c>
      <c r="E716" s="116">
        <v>342300000</v>
      </c>
      <c r="F716" s="387">
        <v>182811900</v>
      </c>
      <c r="G716" s="388">
        <f t="shared" si="45"/>
        <v>53.406923751095526</v>
      </c>
      <c r="H716" s="388">
        <v>75</v>
      </c>
      <c r="I716" s="111"/>
    </row>
    <row r="717" spans="3:9" ht="16.5" hidden="1" customHeight="1" x14ac:dyDescent="0.25">
      <c r="C717" s="226"/>
      <c r="D717" s="239" t="s">
        <v>700</v>
      </c>
      <c r="E717" s="116">
        <v>400000000</v>
      </c>
      <c r="F717" s="387">
        <v>341590000</v>
      </c>
      <c r="G717" s="388">
        <f t="shared" si="45"/>
        <v>85.397500000000008</v>
      </c>
      <c r="H717" s="388">
        <v>90</v>
      </c>
      <c r="I717" s="111"/>
    </row>
    <row r="718" spans="3:9" ht="16.5" hidden="1" customHeight="1" x14ac:dyDescent="0.25">
      <c r="C718" s="226"/>
      <c r="D718" s="239" t="s">
        <v>701</v>
      </c>
      <c r="E718" s="116">
        <v>258909300</v>
      </c>
      <c r="F718" s="387">
        <v>84506700</v>
      </c>
      <c r="G718" s="388">
        <f t="shared" si="45"/>
        <v>32.639499623999605</v>
      </c>
      <c r="H718" s="388">
        <v>35</v>
      </c>
      <c r="I718" s="111"/>
    </row>
    <row r="719" spans="3:9" ht="16.5" hidden="1" customHeight="1" x14ac:dyDescent="0.25">
      <c r="C719" s="226"/>
      <c r="D719" s="239" t="s">
        <v>702</v>
      </c>
      <c r="E719" s="116">
        <v>249500000</v>
      </c>
      <c r="F719" s="387">
        <v>136750000</v>
      </c>
      <c r="G719" s="388">
        <f t="shared" si="45"/>
        <v>54.809619238476955</v>
      </c>
      <c r="H719" s="388">
        <v>55</v>
      </c>
      <c r="I719" s="111"/>
    </row>
    <row r="720" spans="3:9" ht="16.5" hidden="1" customHeight="1" x14ac:dyDescent="0.25">
      <c r="C720" s="226"/>
      <c r="D720" s="239" t="s">
        <v>703</v>
      </c>
      <c r="E720" s="116">
        <v>1299012500</v>
      </c>
      <c r="F720" s="387">
        <v>1119831470</v>
      </c>
      <c r="G720" s="388">
        <f t="shared" si="45"/>
        <v>86.206365989549752</v>
      </c>
      <c r="H720" s="388">
        <v>87</v>
      </c>
      <c r="I720" s="111"/>
    </row>
    <row r="721" spans="3:9" ht="16.5" hidden="1" customHeight="1" x14ac:dyDescent="0.25">
      <c r="C721" s="226"/>
      <c r="D721" s="239" t="s">
        <v>704</v>
      </c>
      <c r="E721" s="116">
        <v>1500000000</v>
      </c>
      <c r="F721" s="387">
        <v>789393500</v>
      </c>
      <c r="G721" s="388">
        <f t="shared" si="45"/>
        <v>52.626233333333339</v>
      </c>
      <c r="H721" s="388">
        <v>75</v>
      </c>
      <c r="I721" s="111"/>
    </row>
    <row r="722" spans="3:9" ht="16.5" hidden="1" customHeight="1" x14ac:dyDescent="0.25">
      <c r="C722" s="226"/>
      <c r="D722" s="238" t="s">
        <v>705</v>
      </c>
      <c r="E722" s="116">
        <v>118450000</v>
      </c>
      <c r="F722" s="385">
        <f>SUM(F723:F723)</f>
        <v>111886200</v>
      </c>
      <c r="G722" s="386">
        <f t="shared" si="45"/>
        <v>94.45859012241452</v>
      </c>
      <c r="H722" s="386">
        <f>SUM(H723)/1</f>
        <v>100</v>
      </c>
      <c r="I722" s="111"/>
    </row>
    <row r="723" spans="3:9" ht="16.5" hidden="1" customHeight="1" x14ac:dyDescent="0.25">
      <c r="C723" s="226"/>
      <c r="D723" s="239" t="s">
        <v>706</v>
      </c>
      <c r="E723" s="116">
        <v>118450000</v>
      </c>
      <c r="F723" s="387">
        <v>111886200</v>
      </c>
      <c r="G723" s="388">
        <f t="shared" si="45"/>
        <v>94.45859012241452</v>
      </c>
      <c r="H723" s="388">
        <v>100</v>
      </c>
      <c r="I723" s="111"/>
    </row>
    <row r="724" spans="3:9" ht="16.5" hidden="1" customHeight="1" x14ac:dyDescent="0.25">
      <c r="C724" s="226"/>
      <c r="D724" s="238" t="s">
        <v>177</v>
      </c>
      <c r="E724" s="116">
        <v>2196075000</v>
      </c>
      <c r="F724" s="385">
        <f>SUM(F725:F726)</f>
        <v>2121825000</v>
      </c>
      <c r="G724" s="386">
        <f t="shared" si="45"/>
        <v>96.6189679314231</v>
      </c>
      <c r="H724" s="386">
        <f>SUM(H725:H726)/2</f>
        <v>98.5</v>
      </c>
      <c r="I724" s="111"/>
    </row>
    <row r="725" spans="3:9" ht="16.5" hidden="1" customHeight="1" x14ac:dyDescent="0.25">
      <c r="C725" s="226"/>
      <c r="D725" s="239" t="s">
        <v>707</v>
      </c>
      <c r="E725" s="116">
        <v>171075000</v>
      </c>
      <c r="F725" s="387">
        <v>171075000</v>
      </c>
      <c r="G725" s="388">
        <f t="shared" si="45"/>
        <v>100</v>
      </c>
      <c r="H725" s="388">
        <v>100</v>
      </c>
      <c r="I725" s="111"/>
    </row>
    <row r="726" spans="3:9" ht="16.5" hidden="1" customHeight="1" x14ac:dyDescent="0.25">
      <c r="C726" s="226"/>
      <c r="D726" s="239" t="s">
        <v>708</v>
      </c>
      <c r="E726" s="116">
        <v>2025000000</v>
      </c>
      <c r="F726" s="387">
        <v>1950750000</v>
      </c>
      <c r="G726" s="388">
        <f t="shared" si="45"/>
        <v>96.333333333333343</v>
      </c>
      <c r="H726" s="388">
        <v>97</v>
      </c>
      <c r="I726" s="111"/>
    </row>
    <row r="727" spans="3:9" ht="16.5" hidden="1" customHeight="1" x14ac:dyDescent="0.25">
      <c r="C727" s="226"/>
      <c r="D727" s="238" t="s">
        <v>182</v>
      </c>
      <c r="E727" s="116">
        <v>2297035000</v>
      </c>
      <c r="F727" s="385">
        <f>SUM(F728:F738)</f>
        <v>982435500</v>
      </c>
      <c r="G727" s="386">
        <f t="shared" si="45"/>
        <v>42.769722707751512</v>
      </c>
      <c r="H727" s="386">
        <f>SUM(H728:H738)/11</f>
        <v>43.636363636363633</v>
      </c>
      <c r="I727" s="111"/>
    </row>
    <row r="728" spans="3:9" ht="16.5" hidden="1" customHeight="1" x14ac:dyDescent="0.25">
      <c r="C728" s="226"/>
      <c r="D728" s="239" t="s">
        <v>709</v>
      </c>
      <c r="E728" s="116">
        <v>482000000</v>
      </c>
      <c r="F728" s="387">
        <v>300000000</v>
      </c>
      <c r="G728" s="388">
        <f t="shared" si="45"/>
        <v>62.240663900414937</v>
      </c>
      <c r="H728" s="388">
        <v>65</v>
      </c>
      <c r="I728" s="111"/>
    </row>
    <row r="729" spans="3:9" ht="16.5" hidden="1" customHeight="1" x14ac:dyDescent="0.25">
      <c r="C729" s="226"/>
      <c r="D729" s="239" t="s">
        <v>710</v>
      </c>
      <c r="E729" s="116">
        <v>150360000</v>
      </c>
      <c r="F729" s="387">
        <v>39905000</v>
      </c>
      <c r="G729" s="388">
        <f t="shared" si="45"/>
        <v>26.539638201649375</v>
      </c>
      <c r="H729" s="388">
        <v>30</v>
      </c>
      <c r="I729" s="111"/>
    </row>
    <row r="730" spans="3:9" ht="16.5" hidden="1" customHeight="1" x14ac:dyDescent="0.25">
      <c r="C730" s="226"/>
      <c r="D730" s="239" t="s">
        <v>711</v>
      </c>
      <c r="E730" s="116">
        <v>370530000</v>
      </c>
      <c r="F730" s="387">
        <v>114130000</v>
      </c>
      <c r="G730" s="388">
        <f t="shared" si="45"/>
        <v>30.801824413677704</v>
      </c>
      <c r="H730" s="388">
        <v>31</v>
      </c>
      <c r="I730" s="111"/>
    </row>
    <row r="731" spans="3:9" ht="16.5" hidden="1" customHeight="1" x14ac:dyDescent="0.25">
      <c r="C731" s="226"/>
      <c r="D731" s="239" t="s">
        <v>712</v>
      </c>
      <c r="E731" s="116">
        <v>80160000</v>
      </c>
      <c r="F731" s="387">
        <v>0</v>
      </c>
      <c r="G731" s="388">
        <f t="shared" si="45"/>
        <v>0</v>
      </c>
      <c r="H731" s="388">
        <v>0</v>
      </c>
      <c r="I731" s="111"/>
    </row>
    <row r="732" spans="3:9" ht="16.5" hidden="1" customHeight="1" x14ac:dyDescent="0.25">
      <c r="C732" s="226"/>
      <c r="D732" s="239" t="s">
        <v>713</v>
      </c>
      <c r="E732" s="116">
        <v>150030000</v>
      </c>
      <c r="F732" s="387">
        <v>135000000</v>
      </c>
      <c r="G732" s="388">
        <f t="shared" si="45"/>
        <v>89.982003599280148</v>
      </c>
      <c r="H732" s="388">
        <v>70</v>
      </c>
      <c r="I732" s="111"/>
    </row>
    <row r="733" spans="3:9" ht="16.5" hidden="1" customHeight="1" x14ac:dyDescent="0.25">
      <c r="C733" s="226"/>
      <c r="D733" s="239" t="s">
        <v>714</v>
      </c>
      <c r="E733" s="116">
        <v>116660000</v>
      </c>
      <c r="F733" s="387">
        <v>89536500</v>
      </c>
      <c r="G733" s="388">
        <f t="shared" si="45"/>
        <v>76.749957140408014</v>
      </c>
      <c r="H733" s="388">
        <v>77</v>
      </c>
      <c r="I733" s="111"/>
    </row>
    <row r="734" spans="3:9" ht="16.5" hidden="1" customHeight="1" x14ac:dyDescent="0.25">
      <c r="C734" s="226"/>
      <c r="D734" s="239" t="s">
        <v>715</v>
      </c>
      <c r="E734" s="116">
        <v>398475000</v>
      </c>
      <c r="F734" s="387">
        <v>0</v>
      </c>
      <c r="G734" s="388">
        <f t="shared" si="45"/>
        <v>0</v>
      </c>
      <c r="H734" s="388">
        <v>0</v>
      </c>
      <c r="I734" s="111"/>
    </row>
    <row r="735" spans="3:9" ht="16.5" hidden="1" customHeight="1" x14ac:dyDescent="0.25">
      <c r="C735" s="226"/>
      <c r="D735" s="239" t="s">
        <v>716</v>
      </c>
      <c r="E735" s="116">
        <v>36800000</v>
      </c>
      <c r="F735" s="387">
        <v>0</v>
      </c>
      <c r="G735" s="388">
        <f t="shared" si="45"/>
        <v>0</v>
      </c>
      <c r="H735" s="388">
        <v>0</v>
      </c>
      <c r="I735" s="111"/>
    </row>
    <row r="736" spans="3:9" ht="16.5" hidden="1" customHeight="1" x14ac:dyDescent="0.25">
      <c r="C736" s="226"/>
      <c r="D736" s="239" t="s">
        <v>717</v>
      </c>
      <c r="E736" s="116">
        <v>201260000</v>
      </c>
      <c r="F736" s="387">
        <v>151200000</v>
      </c>
      <c r="G736" s="388">
        <f t="shared" si="45"/>
        <v>75.126701778793603</v>
      </c>
      <c r="H736" s="388">
        <v>77</v>
      </c>
      <c r="I736" s="111"/>
    </row>
    <row r="737" spans="3:9" ht="16.5" hidden="1" customHeight="1" x14ac:dyDescent="0.25">
      <c r="C737" s="226"/>
      <c r="D737" s="239" t="s">
        <v>718</v>
      </c>
      <c r="E737" s="116">
        <v>91580000</v>
      </c>
      <c r="F737" s="387">
        <v>91464000</v>
      </c>
      <c r="G737" s="388">
        <f t="shared" si="45"/>
        <v>99.873334789255296</v>
      </c>
      <c r="H737" s="388">
        <v>100</v>
      </c>
      <c r="I737" s="111"/>
    </row>
    <row r="738" spans="3:9" ht="16.5" hidden="1" customHeight="1" x14ac:dyDescent="0.25">
      <c r="C738" s="226"/>
      <c r="D738" s="239" t="s">
        <v>719</v>
      </c>
      <c r="E738" s="116">
        <v>219180000</v>
      </c>
      <c r="F738" s="387">
        <v>61200000</v>
      </c>
      <c r="G738" s="388">
        <f t="shared" si="45"/>
        <v>27.922255680262797</v>
      </c>
      <c r="H738" s="388">
        <v>30</v>
      </c>
      <c r="I738" s="111"/>
    </row>
    <row r="739" spans="3:9" ht="16.5" hidden="1" customHeight="1" x14ac:dyDescent="0.25">
      <c r="C739" s="226"/>
      <c r="D739" s="238" t="s">
        <v>720</v>
      </c>
      <c r="E739" s="116">
        <v>2935739000</v>
      </c>
      <c r="F739" s="385">
        <f>SUM(F740:F741)</f>
        <v>1933252975</v>
      </c>
      <c r="G739" s="386">
        <f t="shared" si="45"/>
        <v>65.852345014321784</v>
      </c>
      <c r="H739" s="386">
        <f>SUM(H740:H741)/2</f>
        <v>82.5</v>
      </c>
      <c r="I739" s="111"/>
    </row>
    <row r="740" spans="3:9" ht="16.5" hidden="1" customHeight="1" x14ac:dyDescent="0.25">
      <c r="C740" s="226"/>
      <c r="D740" s="239" t="s">
        <v>721</v>
      </c>
      <c r="E740" s="116">
        <v>2631000000</v>
      </c>
      <c r="F740" s="387">
        <v>1637206175</v>
      </c>
      <c r="G740" s="388">
        <f t="shared" si="45"/>
        <v>62.227524705435201</v>
      </c>
      <c r="H740" s="388">
        <v>65</v>
      </c>
      <c r="I740" s="111"/>
    </row>
    <row r="741" spans="3:9" ht="16.5" hidden="1" customHeight="1" x14ac:dyDescent="0.25">
      <c r="C741" s="226"/>
      <c r="D741" s="239" t="s">
        <v>722</v>
      </c>
      <c r="E741" s="116">
        <v>304739000</v>
      </c>
      <c r="F741" s="387">
        <v>296046800</v>
      </c>
      <c r="G741" s="388">
        <f t="shared" si="45"/>
        <v>97.14765750363425</v>
      </c>
      <c r="H741" s="388">
        <v>100</v>
      </c>
      <c r="I741" s="111"/>
    </row>
    <row r="742" spans="3:9" ht="10.5" hidden="1" customHeight="1" x14ac:dyDescent="0.25">
      <c r="C742" s="226"/>
      <c r="D742" s="239"/>
      <c r="E742" s="116"/>
      <c r="F742" s="108"/>
      <c r="G742" s="117"/>
      <c r="H742" s="117"/>
      <c r="I742" s="111"/>
    </row>
    <row r="743" spans="3:9" ht="16.5" hidden="1" customHeight="1" x14ac:dyDescent="0.25">
      <c r="C743" s="226"/>
      <c r="D743" s="237" t="s">
        <v>723</v>
      </c>
      <c r="E743" s="116">
        <v>7925808320</v>
      </c>
      <c r="F743" s="385">
        <f>F744+F746</f>
        <v>6983413500</v>
      </c>
      <c r="G743" s="386">
        <f>F743/E743*100</f>
        <v>88.109795468785705</v>
      </c>
      <c r="H743" s="386">
        <f>(H744+H746)/2</f>
        <v>90</v>
      </c>
      <c r="I743" s="111"/>
    </row>
    <row r="744" spans="3:9" ht="16.5" hidden="1" customHeight="1" x14ac:dyDescent="0.25">
      <c r="C744" s="226"/>
      <c r="D744" s="238" t="s">
        <v>724</v>
      </c>
      <c r="E744" s="116">
        <v>3925808320</v>
      </c>
      <c r="F744" s="385">
        <f>F745</f>
        <v>3247037000</v>
      </c>
      <c r="G744" s="386">
        <f>F744/E744*100</f>
        <v>82.710023906618034</v>
      </c>
      <c r="H744" s="386">
        <f>(H745)/1</f>
        <v>85</v>
      </c>
      <c r="I744" s="111"/>
    </row>
    <row r="745" spans="3:9" ht="16.5" hidden="1" customHeight="1" x14ac:dyDescent="0.25">
      <c r="C745" s="226"/>
      <c r="D745" s="239" t="s">
        <v>725</v>
      </c>
      <c r="E745" s="116">
        <v>3925808320</v>
      </c>
      <c r="F745" s="387">
        <v>3247037000</v>
      </c>
      <c r="G745" s="388">
        <f>F745/E745*100</f>
        <v>82.710023906618034</v>
      </c>
      <c r="H745" s="388">
        <v>85</v>
      </c>
      <c r="I745" s="111"/>
    </row>
    <row r="746" spans="3:9" ht="16.5" hidden="1" customHeight="1" x14ac:dyDescent="0.25">
      <c r="C746" s="226"/>
      <c r="D746" s="238" t="s">
        <v>726</v>
      </c>
      <c r="E746" s="116">
        <v>4000000000</v>
      </c>
      <c r="F746" s="385">
        <f>F747</f>
        <v>3736376500</v>
      </c>
      <c r="G746" s="386">
        <f>F746/E746*100</f>
        <v>93.409412500000002</v>
      </c>
      <c r="H746" s="386">
        <f>(H747)/1</f>
        <v>95</v>
      </c>
      <c r="I746" s="111"/>
    </row>
    <row r="747" spans="3:9" ht="16.5" hidden="1" customHeight="1" x14ac:dyDescent="0.25">
      <c r="C747" s="226"/>
      <c r="D747" s="239" t="s">
        <v>727</v>
      </c>
      <c r="E747" s="116">
        <v>4000000000</v>
      </c>
      <c r="F747" s="387">
        <v>3736376500</v>
      </c>
      <c r="G747" s="388">
        <f>F747/E747*100</f>
        <v>93.409412500000002</v>
      </c>
      <c r="H747" s="388">
        <v>95</v>
      </c>
      <c r="I747" s="111"/>
    </row>
    <row r="748" spans="3:9" ht="10.5" hidden="1" customHeight="1" x14ac:dyDescent="0.25">
      <c r="C748" s="226"/>
      <c r="D748" s="239"/>
      <c r="E748" s="116"/>
      <c r="F748" s="108"/>
      <c r="G748" s="117"/>
      <c r="H748" s="117"/>
      <c r="I748" s="111"/>
    </row>
    <row r="749" spans="3:9" ht="16.5" hidden="1" customHeight="1" x14ac:dyDescent="0.25">
      <c r="C749" s="226"/>
      <c r="D749" s="237" t="s">
        <v>728</v>
      </c>
      <c r="E749" s="116">
        <v>16502694400</v>
      </c>
      <c r="F749" s="385">
        <f>F751</f>
        <v>14828832000</v>
      </c>
      <c r="G749" s="386">
        <f>F749/E749*100</f>
        <v>89.857035709271813</v>
      </c>
      <c r="H749" s="386">
        <f>(H751)/1</f>
        <v>90</v>
      </c>
      <c r="I749" s="111"/>
    </row>
    <row r="750" spans="3:9" ht="16.5" hidden="1" customHeight="1" x14ac:dyDescent="0.25">
      <c r="C750" s="226"/>
      <c r="D750" s="238" t="s">
        <v>729</v>
      </c>
      <c r="E750" s="116">
        <v>16502694400</v>
      </c>
      <c r="F750" s="385">
        <f>F751</f>
        <v>14828832000</v>
      </c>
      <c r="G750" s="386">
        <f>F750/E750*100</f>
        <v>89.857035709271813</v>
      </c>
      <c r="H750" s="386">
        <f>(H751)/1</f>
        <v>90</v>
      </c>
      <c r="I750" s="111"/>
    </row>
    <row r="751" spans="3:9" ht="16.5" hidden="1" customHeight="1" x14ac:dyDescent="0.25">
      <c r="C751" s="226"/>
      <c r="D751" s="239" t="s">
        <v>730</v>
      </c>
      <c r="E751" s="116">
        <v>16502694400</v>
      </c>
      <c r="F751" s="387">
        <v>14828832000</v>
      </c>
      <c r="G751" s="388">
        <f>F751/E751*100</f>
        <v>89.857035709271813</v>
      </c>
      <c r="H751" s="388">
        <v>90</v>
      </c>
      <c r="I751" s="111"/>
    </row>
    <row r="752" spans="3:9" ht="10.5" hidden="1" customHeight="1" x14ac:dyDescent="0.25">
      <c r="C752" s="226"/>
      <c r="D752" s="239"/>
      <c r="E752" s="116"/>
      <c r="F752" s="387"/>
      <c r="G752" s="386"/>
      <c r="H752" s="388"/>
      <c r="I752" s="111"/>
    </row>
    <row r="753" spans="3:9" ht="16.5" hidden="1" customHeight="1" x14ac:dyDescent="0.25">
      <c r="C753" s="226"/>
      <c r="D753" s="237" t="s">
        <v>731</v>
      </c>
      <c r="E753" s="116">
        <v>2050269440</v>
      </c>
      <c r="F753" s="385">
        <f>F754+F756</f>
        <v>1104377900</v>
      </c>
      <c r="G753" s="386">
        <f t="shared" ref="G753:G758" si="46">F753/E753*100</f>
        <v>53.865012980928007</v>
      </c>
      <c r="H753" s="386">
        <f>(H754+H756)/2</f>
        <v>62.5</v>
      </c>
      <c r="I753" s="111"/>
    </row>
    <row r="754" spans="3:9" ht="16.5" hidden="1" customHeight="1" x14ac:dyDescent="0.25">
      <c r="C754" s="226"/>
      <c r="D754" s="238" t="s">
        <v>275</v>
      </c>
      <c r="E754" s="116">
        <v>1250050000</v>
      </c>
      <c r="F754" s="385">
        <f>SUM(F755)</f>
        <v>854730100</v>
      </c>
      <c r="G754" s="386">
        <f t="shared" si="46"/>
        <v>68.37567297308108</v>
      </c>
      <c r="H754" s="386">
        <f>SUM(H755)/1</f>
        <v>75</v>
      </c>
      <c r="I754" s="111"/>
    </row>
    <row r="755" spans="3:9" ht="16.5" hidden="1" customHeight="1" x14ac:dyDescent="0.25">
      <c r="C755" s="226"/>
      <c r="D755" s="240" t="s">
        <v>732</v>
      </c>
      <c r="E755" s="116">
        <v>1250050000</v>
      </c>
      <c r="F755" s="387">
        <v>854730100</v>
      </c>
      <c r="G755" s="388">
        <f t="shared" si="46"/>
        <v>68.37567297308108</v>
      </c>
      <c r="H755" s="388">
        <v>75</v>
      </c>
      <c r="I755" s="111"/>
    </row>
    <row r="756" spans="3:9" ht="16.5" hidden="1" customHeight="1" x14ac:dyDescent="0.25">
      <c r="C756" s="226"/>
      <c r="D756" s="238" t="s">
        <v>283</v>
      </c>
      <c r="E756" s="116">
        <v>800219440</v>
      </c>
      <c r="F756" s="385">
        <f>SUM(F757:F758)</f>
        <v>249647800</v>
      </c>
      <c r="G756" s="386">
        <f t="shared" si="46"/>
        <v>31.197417548366484</v>
      </c>
      <c r="H756" s="386">
        <f>SUM(H757:H758)/2</f>
        <v>50</v>
      </c>
      <c r="I756" s="111"/>
    </row>
    <row r="757" spans="3:9" ht="16.5" hidden="1" customHeight="1" x14ac:dyDescent="0.25">
      <c r="C757" s="226"/>
      <c r="D757" s="240" t="s">
        <v>733</v>
      </c>
      <c r="E757" s="116">
        <v>250269440</v>
      </c>
      <c r="F757" s="387">
        <v>249647800</v>
      </c>
      <c r="G757" s="388">
        <f t="shared" si="46"/>
        <v>99.751611702971005</v>
      </c>
      <c r="H757" s="388">
        <v>100</v>
      </c>
      <c r="I757" s="111"/>
    </row>
    <row r="758" spans="3:9" ht="16.5" hidden="1" customHeight="1" x14ac:dyDescent="0.25">
      <c r="C758" s="226"/>
      <c r="D758" s="240" t="s">
        <v>734</v>
      </c>
      <c r="E758" s="116">
        <v>549950000</v>
      </c>
      <c r="F758" s="387">
        <v>0</v>
      </c>
      <c r="G758" s="388">
        <f t="shared" si="46"/>
        <v>0</v>
      </c>
      <c r="H758" s="388">
        <v>0</v>
      </c>
      <c r="I758" s="111"/>
    </row>
    <row r="759" spans="3:9" ht="10.5" hidden="1" customHeight="1" x14ac:dyDescent="0.25">
      <c r="C759" s="226"/>
      <c r="D759" s="239"/>
      <c r="E759" s="116"/>
      <c r="F759" s="387"/>
      <c r="G759" s="386"/>
      <c r="H759" s="388"/>
      <c r="I759" s="111"/>
    </row>
    <row r="760" spans="3:9" ht="18.75" hidden="1" customHeight="1" x14ac:dyDescent="0.25">
      <c r="C760" s="389"/>
      <c r="D760" s="237" t="s">
        <v>735</v>
      </c>
      <c r="E760" s="116">
        <v>1625000000</v>
      </c>
      <c r="F760" s="385">
        <f>F761+F763+F766+F770</f>
        <v>1529329700</v>
      </c>
      <c r="G760" s="386">
        <f t="shared" ref="G760:G774" si="47">F760/E760*100</f>
        <v>94.112596923076921</v>
      </c>
      <c r="H760" s="386">
        <f>(H761+H763+H766+H770)/4</f>
        <v>94.375</v>
      </c>
      <c r="I760" s="111"/>
    </row>
    <row r="761" spans="3:9" ht="16.5" hidden="1" customHeight="1" x14ac:dyDescent="0.25">
      <c r="C761" s="389"/>
      <c r="D761" s="238" t="s">
        <v>736</v>
      </c>
      <c r="E761" s="116">
        <v>65000000</v>
      </c>
      <c r="F761" s="385">
        <f>F762</f>
        <v>64416000</v>
      </c>
      <c r="G761" s="386">
        <f t="shared" si="47"/>
        <v>99.101538461538468</v>
      </c>
      <c r="H761" s="386">
        <f>(H762)/1</f>
        <v>100</v>
      </c>
      <c r="I761" s="111"/>
    </row>
    <row r="762" spans="3:9" ht="16.5" hidden="1" customHeight="1" x14ac:dyDescent="0.25">
      <c r="C762" s="226"/>
      <c r="D762" s="239" t="s">
        <v>737</v>
      </c>
      <c r="E762" s="116">
        <v>65000000</v>
      </c>
      <c r="F762" s="387">
        <v>64416000</v>
      </c>
      <c r="G762" s="388">
        <f t="shared" si="47"/>
        <v>99.101538461538468</v>
      </c>
      <c r="H762" s="388">
        <v>100</v>
      </c>
      <c r="I762" s="111"/>
    </row>
    <row r="763" spans="3:9" ht="16.5" hidden="1" customHeight="1" x14ac:dyDescent="0.25">
      <c r="C763" s="226"/>
      <c r="D763" s="238" t="s">
        <v>343</v>
      </c>
      <c r="E763" s="116">
        <v>326875000</v>
      </c>
      <c r="F763" s="385">
        <f>SUM(F764:F765)</f>
        <v>323709900</v>
      </c>
      <c r="G763" s="386">
        <f t="shared" si="47"/>
        <v>99.031709369024853</v>
      </c>
      <c r="H763" s="386">
        <f>SUM(H764:H765)/2</f>
        <v>100</v>
      </c>
      <c r="I763" s="111"/>
    </row>
    <row r="764" spans="3:9" ht="16.5" hidden="1" customHeight="1" x14ac:dyDescent="0.25">
      <c r="C764" s="226"/>
      <c r="D764" s="239" t="s">
        <v>738</v>
      </c>
      <c r="E764" s="116">
        <v>226875000</v>
      </c>
      <c r="F764" s="387">
        <v>226425000</v>
      </c>
      <c r="G764" s="388">
        <f t="shared" si="47"/>
        <v>99.801652892561989</v>
      </c>
      <c r="H764" s="388">
        <v>100</v>
      </c>
      <c r="I764" s="111"/>
    </row>
    <row r="765" spans="3:9" ht="16.5" hidden="1" customHeight="1" x14ac:dyDescent="0.25">
      <c r="C765" s="389"/>
      <c r="D765" s="239" t="s">
        <v>739</v>
      </c>
      <c r="E765" s="116">
        <v>100000000</v>
      </c>
      <c r="F765" s="387">
        <v>97284900</v>
      </c>
      <c r="G765" s="388">
        <f t="shared" si="47"/>
        <v>97.284899999999993</v>
      </c>
      <c r="H765" s="388">
        <v>100</v>
      </c>
      <c r="I765" s="111"/>
    </row>
    <row r="766" spans="3:9" ht="18.75" hidden="1" customHeight="1" x14ac:dyDescent="0.25">
      <c r="C766" s="226"/>
      <c r="D766" s="238" t="s">
        <v>740</v>
      </c>
      <c r="E766" s="116">
        <v>557000000</v>
      </c>
      <c r="F766" s="385">
        <f>SUM(F767:F769)</f>
        <v>514563000</v>
      </c>
      <c r="G766" s="386">
        <f t="shared" si="47"/>
        <v>92.38114901256732</v>
      </c>
      <c r="H766" s="386">
        <f>SUM(H767:H769)/3</f>
        <v>85</v>
      </c>
      <c r="I766" s="111"/>
    </row>
    <row r="767" spans="3:9" ht="35.1" hidden="1" customHeight="1" x14ac:dyDescent="0.25">
      <c r="C767" s="226"/>
      <c r="D767" s="239" t="s">
        <v>741</v>
      </c>
      <c r="E767" s="116">
        <v>232000000</v>
      </c>
      <c r="F767" s="387">
        <v>230310000</v>
      </c>
      <c r="G767" s="388">
        <f t="shared" si="47"/>
        <v>99.271551724137936</v>
      </c>
      <c r="H767" s="388">
        <v>100</v>
      </c>
      <c r="I767" s="111"/>
    </row>
    <row r="768" spans="3:9" ht="18.75" hidden="1" customHeight="1" x14ac:dyDescent="0.25">
      <c r="C768" s="226"/>
      <c r="D768" s="237" t="s">
        <v>742</v>
      </c>
      <c r="E768" s="116">
        <v>75000000</v>
      </c>
      <c r="F768" s="387">
        <v>40814000</v>
      </c>
      <c r="G768" s="388">
        <f t="shared" si="47"/>
        <v>54.418666666666674</v>
      </c>
      <c r="H768" s="388">
        <v>55</v>
      </c>
      <c r="I768" s="111"/>
    </row>
    <row r="769" spans="3:9" ht="18.75" hidden="1" customHeight="1" x14ac:dyDescent="0.25">
      <c r="C769" s="226"/>
      <c r="D769" s="239" t="s">
        <v>743</v>
      </c>
      <c r="E769" s="116">
        <v>250000000</v>
      </c>
      <c r="F769" s="387">
        <v>243439000</v>
      </c>
      <c r="G769" s="388">
        <f t="shared" si="47"/>
        <v>97.375599999999991</v>
      </c>
      <c r="H769" s="388">
        <v>100</v>
      </c>
      <c r="I769" s="111"/>
    </row>
    <row r="770" spans="3:9" ht="18.75" hidden="1" customHeight="1" x14ac:dyDescent="0.25">
      <c r="C770" s="226"/>
      <c r="D770" s="238" t="s">
        <v>744</v>
      </c>
      <c r="E770" s="116">
        <v>676125000</v>
      </c>
      <c r="F770" s="385">
        <f>SUM(F771:F774)</f>
        <v>626640800</v>
      </c>
      <c r="G770" s="386">
        <f t="shared" si="47"/>
        <v>92.681205398410057</v>
      </c>
      <c r="H770" s="386">
        <f>SUM(H771:H774)/4</f>
        <v>92.5</v>
      </c>
      <c r="I770" s="111"/>
    </row>
    <row r="771" spans="3:9" ht="18.75" hidden="1" customHeight="1" x14ac:dyDescent="0.25">
      <c r="C771" s="226"/>
      <c r="D771" s="239" t="s">
        <v>745</v>
      </c>
      <c r="E771" s="116">
        <v>234700000</v>
      </c>
      <c r="F771" s="387">
        <v>229100000</v>
      </c>
      <c r="G771" s="388">
        <f t="shared" si="47"/>
        <v>97.613975287601193</v>
      </c>
      <c r="H771" s="388">
        <v>100</v>
      </c>
      <c r="I771" s="111"/>
    </row>
    <row r="772" spans="3:9" ht="16.5" hidden="1" customHeight="1" x14ac:dyDescent="0.25">
      <c r="C772" s="226"/>
      <c r="D772" s="239" t="s">
        <v>746</v>
      </c>
      <c r="E772" s="116">
        <v>175005000</v>
      </c>
      <c r="F772" s="387">
        <v>174329800</v>
      </c>
      <c r="G772" s="388">
        <f t="shared" si="47"/>
        <v>99.614182451929949</v>
      </c>
      <c r="H772" s="388">
        <v>100</v>
      </c>
      <c r="I772" s="111"/>
    </row>
    <row r="773" spans="3:9" ht="16.5" hidden="1" customHeight="1" x14ac:dyDescent="0.25">
      <c r="C773" s="226"/>
      <c r="D773" s="239" t="s">
        <v>747</v>
      </c>
      <c r="E773" s="116">
        <v>141425000</v>
      </c>
      <c r="F773" s="387">
        <v>140455000</v>
      </c>
      <c r="G773" s="388">
        <f t="shared" si="47"/>
        <v>99.314124094042782</v>
      </c>
      <c r="H773" s="388">
        <v>100</v>
      </c>
      <c r="I773" s="111"/>
    </row>
    <row r="774" spans="3:9" ht="16.5" hidden="1" customHeight="1" x14ac:dyDescent="0.25">
      <c r="C774" s="226"/>
      <c r="D774" s="239" t="s">
        <v>748</v>
      </c>
      <c r="E774" s="116">
        <v>124995000</v>
      </c>
      <c r="F774" s="387">
        <v>82756000</v>
      </c>
      <c r="G774" s="388">
        <f t="shared" si="47"/>
        <v>66.207448297931919</v>
      </c>
      <c r="H774" s="388">
        <v>70</v>
      </c>
      <c r="I774" s="111"/>
    </row>
    <row r="775" spans="3:9" ht="10.5" hidden="1" customHeight="1" x14ac:dyDescent="0.25">
      <c r="C775" s="226"/>
      <c r="D775" s="239"/>
      <c r="E775" s="116"/>
      <c r="F775" s="387"/>
      <c r="G775" s="386"/>
      <c r="H775" s="388"/>
      <c r="I775" s="111"/>
    </row>
    <row r="776" spans="3:9" ht="16.5" hidden="1" customHeight="1" x14ac:dyDescent="0.25">
      <c r="C776" s="226"/>
      <c r="D776" s="237" t="s">
        <v>749</v>
      </c>
      <c r="E776" s="195">
        <v>4195834556</v>
      </c>
      <c r="F776" s="385">
        <f>F777+F781+F783+F785</f>
        <v>3911230250</v>
      </c>
      <c r="G776" s="386">
        <f t="shared" ref="G776:G787" si="48">F776/E776*100</f>
        <v>93.216979787894189</v>
      </c>
      <c r="H776" s="386">
        <f>(H777+H781+H783+H785)/4</f>
        <v>96.875</v>
      </c>
      <c r="I776" s="111"/>
    </row>
    <row r="777" spans="3:9" ht="16.5" hidden="1" customHeight="1" x14ac:dyDescent="0.25">
      <c r="C777" s="226"/>
      <c r="D777" s="238" t="s">
        <v>750</v>
      </c>
      <c r="E777" s="195">
        <v>1890205000</v>
      </c>
      <c r="F777" s="385">
        <f>SUM(F778:F780)</f>
        <v>1810273850</v>
      </c>
      <c r="G777" s="386">
        <f t="shared" si="48"/>
        <v>95.771297293150752</v>
      </c>
      <c r="H777" s="386">
        <f>SUM(H778:H780)/3</f>
        <v>100</v>
      </c>
      <c r="I777" s="111"/>
    </row>
    <row r="778" spans="3:9" ht="16.5" hidden="1" customHeight="1" x14ac:dyDescent="0.25">
      <c r="C778" s="226"/>
      <c r="D778" s="239" t="s">
        <v>751</v>
      </c>
      <c r="E778" s="195">
        <v>537755000</v>
      </c>
      <c r="F778" s="387">
        <v>496454600</v>
      </c>
      <c r="G778" s="388">
        <f t="shared" si="48"/>
        <v>92.319848258035719</v>
      </c>
      <c r="H778" s="388">
        <v>100</v>
      </c>
      <c r="I778" s="111"/>
    </row>
    <row r="779" spans="3:9" ht="16.5" hidden="1" customHeight="1" x14ac:dyDescent="0.25">
      <c r="C779" s="226"/>
      <c r="D779" s="239" t="s">
        <v>752</v>
      </c>
      <c r="E779" s="195">
        <v>958600000</v>
      </c>
      <c r="F779" s="387">
        <v>954277000</v>
      </c>
      <c r="G779" s="388">
        <f t="shared" si="48"/>
        <v>99.549029835176299</v>
      </c>
      <c r="H779" s="388">
        <v>100</v>
      </c>
      <c r="I779" s="111"/>
    </row>
    <row r="780" spans="3:9" ht="16.5" hidden="1" customHeight="1" x14ac:dyDescent="0.25">
      <c r="C780" s="226"/>
      <c r="D780" s="239" t="s">
        <v>753</v>
      </c>
      <c r="E780" s="195">
        <v>393850000</v>
      </c>
      <c r="F780" s="387">
        <v>359542250</v>
      </c>
      <c r="G780" s="388">
        <f t="shared" si="48"/>
        <v>91.289132918623835</v>
      </c>
      <c r="H780" s="388">
        <v>100</v>
      </c>
      <c r="I780" s="111"/>
    </row>
    <row r="781" spans="3:9" ht="16.5" hidden="1" customHeight="1" x14ac:dyDescent="0.25">
      <c r="C781" s="226"/>
      <c r="D781" s="238" t="s">
        <v>754</v>
      </c>
      <c r="E781" s="195">
        <v>599200000</v>
      </c>
      <c r="F781" s="385">
        <f>F782</f>
        <v>575127400</v>
      </c>
      <c r="G781" s="386">
        <f t="shared" si="48"/>
        <v>95.982543391188244</v>
      </c>
      <c r="H781" s="386">
        <f>(H782)/1</f>
        <v>100</v>
      </c>
      <c r="I781" s="111"/>
    </row>
    <row r="782" spans="3:9" ht="16.5" hidden="1" customHeight="1" x14ac:dyDescent="0.25">
      <c r="C782" s="226"/>
      <c r="D782" s="239" t="s">
        <v>755</v>
      </c>
      <c r="E782" s="195">
        <v>599200000</v>
      </c>
      <c r="F782" s="387">
        <v>575127400</v>
      </c>
      <c r="G782" s="388">
        <f t="shared" si="48"/>
        <v>95.982543391188244</v>
      </c>
      <c r="H782" s="388">
        <v>100</v>
      </c>
      <c r="I782" s="111"/>
    </row>
    <row r="783" spans="3:9" ht="16.5" hidden="1" customHeight="1" x14ac:dyDescent="0.25">
      <c r="C783" s="226"/>
      <c r="D783" s="238" t="s">
        <v>756</v>
      </c>
      <c r="E783" s="195">
        <v>310800000</v>
      </c>
      <c r="F783" s="385">
        <f>F784</f>
        <v>301371000</v>
      </c>
      <c r="G783" s="386">
        <f t="shared" si="48"/>
        <v>96.96621621621621</v>
      </c>
      <c r="H783" s="386">
        <f>(H784)/1</f>
        <v>100</v>
      </c>
      <c r="I783" s="111"/>
    </row>
    <row r="784" spans="3:9" ht="16.5" hidden="1" customHeight="1" x14ac:dyDescent="0.25">
      <c r="C784" s="226"/>
      <c r="D784" s="239" t="s">
        <v>757</v>
      </c>
      <c r="E784" s="195">
        <v>310800000</v>
      </c>
      <c r="F784" s="387">
        <v>301371000</v>
      </c>
      <c r="G784" s="388">
        <f t="shared" si="48"/>
        <v>96.96621621621621</v>
      </c>
      <c r="H784" s="388">
        <v>100</v>
      </c>
      <c r="I784" s="111"/>
    </row>
    <row r="785" spans="3:9" ht="16.5" hidden="1" customHeight="1" x14ac:dyDescent="0.25">
      <c r="C785" s="226"/>
      <c r="D785" s="238" t="s">
        <v>758</v>
      </c>
      <c r="E785" s="195">
        <v>1395629556</v>
      </c>
      <c r="F785" s="385">
        <f>SUM(F786:F787)</f>
        <v>1224458000</v>
      </c>
      <c r="G785" s="386">
        <f t="shared" si="48"/>
        <v>87.735172613383668</v>
      </c>
      <c r="H785" s="386">
        <f>SUM(H786:H787)/2</f>
        <v>87.5</v>
      </c>
      <c r="I785" s="111"/>
    </row>
    <row r="786" spans="3:9" ht="16.5" hidden="1" customHeight="1" x14ac:dyDescent="0.25">
      <c r="C786" s="226"/>
      <c r="D786" s="239" t="s">
        <v>759</v>
      </c>
      <c r="E786" s="116">
        <v>1029900000</v>
      </c>
      <c r="F786" s="387">
        <v>941379000</v>
      </c>
      <c r="G786" s="388">
        <f t="shared" si="48"/>
        <v>91.404893678997951</v>
      </c>
      <c r="H786" s="388">
        <v>95</v>
      </c>
      <c r="I786" s="111"/>
    </row>
    <row r="787" spans="3:9" ht="16.5" hidden="1" customHeight="1" x14ac:dyDescent="0.25">
      <c r="C787" s="226"/>
      <c r="D787" s="239" t="s">
        <v>760</v>
      </c>
      <c r="E787" s="116">
        <v>365729556</v>
      </c>
      <c r="F787" s="387">
        <v>283079000</v>
      </c>
      <c r="G787" s="388">
        <f t="shared" si="48"/>
        <v>77.401182200325096</v>
      </c>
      <c r="H787" s="388">
        <v>80</v>
      </c>
      <c r="I787" s="111"/>
    </row>
    <row r="788" spans="3:9" ht="10.5" hidden="1" customHeight="1" x14ac:dyDescent="0.25">
      <c r="C788" s="226"/>
      <c r="D788" s="239"/>
      <c r="E788" s="116"/>
      <c r="F788" s="387"/>
      <c r="G788" s="388"/>
      <c r="H788" s="388"/>
      <c r="I788" s="111"/>
    </row>
    <row r="789" spans="3:9" ht="16.5" hidden="1" customHeight="1" x14ac:dyDescent="0.25">
      <c r="C789" s="389"/>
      <c r="D789" s="237" t="s">
        <v>363</v>
      </c>
      <c r="E789" s="195">
        <v>1806720000</v>
      </c>
      <c r="F789" s="385">
        <f>F790+F793</f>
        <v>1620652000</v>
      </c>
      <c r="G789" s="386">
        <f t="shared" ref="G789:G795" si="49">F789/E789*100</f>
        <v>89.701337229897277</v>
      </c>
      <c r="H789" s="386">
        <f>(H790+H793)/2</f>
        <v>91.25</v>
      </c>
      <c r="I789" s="111"/>
    </row>
    <row r="790" spans="3:9" ht="21.75" hidden="1" customHeight="1" x14ac:dyDescent="0.25">
      <c r="C790" s="226"/>
      <c r="D790" s="238" t="s">
        <v>364</v>
      </c>
      <c r="E790" s="195">
        <v>887900000</v>
      </c>
      <c r="F790" s="385">
        <f>SUM(F791:F792)</f>
        <v>770980000</v>
      </c>
      <c r="G790" s="386">
        <f t="shared" si="49"/>
        <v>86.8318504336074</v>
      </c>
      <c r="H790" s="386">
        <f>SUM(H791:H792)/2</f>
        <v>87.5</v>
      </c>
      <c r="I790" s="111"/>
    </row>
    <row r="791" spans="3:9" ht="16.5" hidden="1" customHeight="1" x14ac:dyDescent="0.25">
      <c r="C791" s="226"/>
      <c r="D791" s="239" t="s">
        <v>761</v>
      </c>
      <c r="E791" s="195">
        <v>364970000</v>
      </c>
      <c r="F791" s="387">
        <v>314420000</v>
      </c>
      <c r="G791" s="388">
        <f t="shared" si="49"/>
        <v>86.149546538071618</v>
      </c>
      <c r="H791" s="388">
        <v>87</v>
      </c>
      <c r="I791" s="111"/>
    </row>
    <row r="792" spans="3:9" ht="16.5" hidden="1" customHeight="1" x14ac:dyDescent="0.25">
      <c r="C792" s="226"/>
      <c r="D792" s="239" t="s">
        <v>762</v>
      </c>
      <c r="E792" s="195">
        <v>522930000</v>
      </c>
      <c r="F792" s="387">
        <v>456560000</v>
      </c>
      <c r="G792" s="388">
        <f t="shared" si="49"/>
        <v>87.308052703038655</v>
      </c>
      <c r="H792" s="388">
        <v>88</v>
      </c>
      <c r="I792" s="111"/>
    </row>
    <row r="793" spans="3:9" ht="16.5" hidden="1" customHeight="1" x14ac:dyDescent="0.25">
      <c r="C793" s="226"/>
      <c r="D793" s="238" t="s">
        <v>370</v>
      </c>
      <c r="E793" s="195">
        <v>918820000</v>
      </c>
      <c r="F793" s="385">
        <f>SUM(F794:F795)</f>
        <v>849672000</v>
      </c>
      <c r="G793" s="386">
        <f t="shared" si="49"/>
        <v>92.474260464508831</v>
      </c>
      <c r="H793" s="386">
        <f>SUM(H794:H795)/2</f>
        <v>95</v>
      </c>
      <c r="I793" s="111"/>
    </row>
    <row r="794" spans="3:9" ht="16.5" hidden="1" customHeight="1" x14ac:dyDescent="0.25">
      <c r="C794" s="226"/>
      <c r="D794" s="239" t="s">
        <v>763</v>
      </c>
      <c r="E794" s="116">
        <v>453820000</v>
      </c>
      <c r="F794" s="387">
        <v>405618400</v>
      </c>
      <c r="G794" s="388">
        <f t="shared" si="49"/>
        <v>89.378696399453531</v>
      </c>
      <c r="H794" s="388">
        <v>90</v>
      </c>
      <c r="I794" s="111"/>
    </row>
    <row r="795" spans="3:9" ht="16.5" hidden="1" customHeight="1" x14ac:dyDescent="0.25">
      <c r="C795" s="226"/>
      <c r="D795" s="239" t="s">
        <v>764</v>
      </c>
      <c r="E795" s="116">
        <v>465000000</v>
      </c>
      <c r="F795" s="387">
        <v>444053600</v>
      </c>
      <c r="G795" s="388">
        <f t="shared" si="49"/>
        <v>95.495397849462364</v>
      </c>
      <c r="H795" s="388">
        <v>100</v>
      </c>
      <c r="I795" s="111"/>
    </row>
    <row r="796" spans="3:9" ht="10.5" hidden="1" customHeight="1" x14ac:dyDescent="0.25">
      <c r="C796" s="226"/>
      <c r="D796" s="239"/>
      <c r="E796" s="116"/>
      <c r="F796" s="387"/>
      <c r="G796" s="386"/>
      <c r="H796" s="388"/>
      <c r="I796" s="111"/>
    </row>
    <row r="797" spans="3:9" ht="16.5" hidden="1" customHeight="1" x14ac:dyDescent="0.25">
      <c r="C797" s="226"/>
      <c r="D797" s="237" t="s">
        <v>765</v>
      </c>
      <c r="E797" s="116">
        <v>8369673644</v>
      </c>
      <c r="F797" s="385">
        <f>F798+F800</f>
        <v>4435098370</v>
      </c>
      <c r="G797" s="386">
        <f>F797/E797*100</f>
        <v>52.990099239764334</v>
      </c>
      <c r="H797" s="386">
        <f>(H798+H800)/2</f>
        <v>68.5</v>
      </c>
      <c r="I797" s="111"/>
    </row>
    <row r="798" spans="3:9" ht="16.5" hidden="1" customHeight="1" x14ac:dyDescent="0.25">
      <c r="C798" s="226"/>
      <c r="D798" s="238" t="s">
        <v>766</v>
      </c>
      <c r="E798" s="116">
        <v>1850474500</v>
      </c>
      <c r="F798" s="385">
        <f>F799</f>
        <v>1668596870</v>
      </c>
      <c r="G798" s="386">
        <f>F798/E798*100</f>
        <v>90.171297686079981</v>
      </c>
      <c r="H798" s="386">
        <f>(H799)/1</f>
        <v>92</v>
      </c>
      <c r="I798" s="111"/>
    </row>
    <row r="799" spans="3:9" ht="16.5" hidden="1" customHeight="1" x14ac:dyDescent="0.25">
      <c r="C799" s="226"/>
      <c r="D799" s="239" t="s">
        <v>767</v>
      </c>
      <c r="E799" s="116">
        <v>1850474500</v>
      </c>
      <c r="F799" s="387">
        <v>1668596870</v>
      </c>
      <c r="G799" s="388">
        <f>F799/E799*100</f>
        <v>90.171297686079981</v>
      </c>
      <c r="H799" s="388">
        <v>92</v>
      </c>
      <c r="I799" s="111"/>
    </row>
    <row r="800" spans="3:9" ht="16.5" hidden="1" customHeight="1" x14ac:dyDescent="0.25">
      <c r="C800" s="226"/>
      <c r="D800" s="238" t="s">
        <v>768</v>
      </c>
      <c r="E800" s="116">
        <v>6519199144</v>
      </c>
      <c r="F800" s="385">
        <f>F801</f>
        <v>2766501500</v>
      </c>
      <c r="G800" s="386">
        <f>F800/E800*100</f>
        <v>42.436217070407686</v>
      </c>
      <c r="H800" s="386">
        <f>(H801)/1</f>
        <v>45</v>
      </c>
      <c r="I800" s="111"/>
    </row>
    <row r="801" spans="3:9" ht="16.5" hidden="1" customHeight="1" x14ac:dyDescent="0.25">
      <c r="C801" s="226"/>
      <c r="D801" s="239" t="s">
        <v>769</v>
      </c>
      <c r="E801" s="116">
        <v>6519199144</v>
      </c>
      <c r="F801" s="387">
        <v>2766501500</v>
      </c>
      <c r="G801" s="388">
        <f>F801/E801*100</f>
        <v>42.436217070407686</v>
      </c>
      <c r="H801" s="388">
        <v>45</v>
      </c>
      <c r="I801" s="111"/>
    </row>
    <row r="802" spans="3:9" ht="10.5" hidden="1" customHeight="1" x14ac:dyDescent="0.25">
      <c r="C802" s="226"/>
      <c r="D802" s="239"/>
      <c r="E802" s="116"/>
      <c r="F802" s="387"/>
      <c r="G802" s="386"/>
      <c r="H802" s="388"/>
      <c r="I802" s="111"/>
    </row>
    <row r="803" spans="3:9" ht="16.5" hidden="1" customHeight="1" x14ac:dyDescent="0.25">
      <c r="C803" s="226"/>
      <c r="D803" s="237" t="s">
        <v>770</v>
      </c>
      <c r="E803" s="195">
        <v>6970139800</v>
      </c>
      <c r="F803" s="385">
        <f>F804+F806+F808+F810+F813</f>
        <v>6571569000</v>
      </c>
      <c r="G803" s="386">
        <f t="shared" ref="G803:G814" si="50">F803/E803*100</f>
        <v>94.281738796688117</v>
      </c>
      <c r="H803" s="386">
        <f>(H804+H8+3+H808+H810+H813)/5</f>
        <v>78.8</v>
      </c>
      <c r="I803" s="111"/>
    </row>
    <row r="804" spans="3:9" ht="16.5" hidden="1" customHeight="1" x14ac:dyDescent="0.25">
      <c r="C804" s="226"/>
      <c r="D804" s="238" t="s">
        <v>486</v>
      </c>
      <c r="E804" s="195">
        <v>329775000</v>
      </c>
      <c r="F804" s="385">
        <f>SUM(F805)</f>
        <v>318276000</v>
      </c>
      <c r="G804" s="386">
        <f t="shared" si="50"/>
        <v>96.513077098021384</v>
      </c>
      <c r="H804" s="386">
        <f>SUM(H805)/1</f>
        <v>100</v>
      </c>
      <c r="I804" s="111"/>
    </row>
    <row r="805" spans="3:9" ht="16.5" hidden="1" customHeight="1" x14ac:dyDescent="0.25">
      <c r="C805" s="226"/>
      <c r="D805" s="239" t="s">
        <v>771</v>
      </c>
      <c r="E805" s="195">
        <v>329775000</v>
      </c>
      <c r="F805" s="387">
        <v>318276000</v>
      </c>
      <c r="G805" s="388">
        <f t="shared" si="50"/>
        <v>96.513077098021384</v>
      </c>
      <c r="H805" s="388">
        <v>100</v>
      </c>
      <c r="I805" s="111"/>
    </row>
    <row r="806" spans="3:9" ht="16.5" hidden="1" customHeight="1" x14ac:dyDescent="0.25">
      <c r="C806" s="226"/>
      <c r="D806" s="238" t="s">
        <v>319</v>
      </c>
      <c r="E806" s="195">
        <v>1406342000</v>
      </c>
      <c r="F806" s="385">
        <f>SUM(F807:F807)</f>
        <v>1374649000</v>
      </c>
      <c r="G806" s="386">
        <f t="shared" si="50"/>
        <v>97.746422989571528</v>
      </c>
      <c r="H806" s="386">
        <f>SUM(H807)/1</f>
        <v>100</v>
      </c>
      <c r="I806" s="111"/>
    </row>
    <row r="807" spans="3:9" ht="18.75" hidden="1" customHeight="1" x14ac:dyDescent="0.25">
      <c r="C807" s="226"/>
      <c r="D807" s="239" t="s">
        <v>772</v>
      </c>
      <c r="E807" s="195">
        <v>1406342000</v>
      </c>
      <c r="F807" s="387">
        <v>1374649000</v>
      </c>
      <c r="G807" s="388">
        <f t="shared" si="50"/>
        <v>97.746422989571528</v>
      </c>
      <c r="H807" s="388">
        <v>100</v>
      </c>
      <c r="I807" s="111"/>
    </row>
    <row r="808" spans="3:9" ht="16.5" hidden="1" customHeight="1" x14ac:dyDescent="0.25">
      <c r="C808" s="226"/>
      <c r="D808" s="238" t="s">
        <v>468</v>
      </c>
      <c r="E808" s="195">
        <v>1407226800</v>
      </c>
      <c r="F808" s="385">
        <f>SUM(F809)</f>
        <v>1326930000</v>
      </c>
      <c r="G808" s="386">
        <f t="shared" si="50"/>
        <v>94.293968818672298</v>
      </c>
      <c r="H808" s="386">
        <f>SUM(H809)/1</f>
        <v>95</v>
      </c>
      <c r="I808" s="111"/>
    </row>
    <row r="809" spans="3:9" ht="18.75" hidden="1" customHeight="1" x14ac:dyDescent="0.25">
      <c r="C809" s="226"/>
      <c r="D809" s="239" t="s">
        <v>773</v>
      </c>
      <c r="E809" s="195">
        <v>1407226800</v>
      </c>
      <c r="F809" s="387">
        <v>1326930000</v>
      </c>
      <c r="G809" s="388">
        <f t="shared" si="50"/>
        <v>94.293968818672298</v>
      </c>
      <c r="H809" s="388">
        <v>95</v>
      </c>
      <c r="I809" s="111"/>
    </row>
    <row r="810" spans="3:9" ht="16.5" hidden="1" customHeight="1" x14ac:dyDescent="0.25">
      <c r="C810" s="226"/>
      <c r="D810" s="238" t="s">
        <v>496</v>
      </c>
      <c r="E810" s="195">
        <v>2441000000</v>
      </c>
      <c r="F810" s="385">
        <f>SUM(F811:F812)</f>
        <v>2227020000</v>
      </c>
      <c r="G810" s="386">
        <f t="shared" si="50"/>
        <v>91.23392052437525</v>
      </c>
      <c r="H810" s="386">
        <f>SUM(H811:H812)/2</f>
        <v>96</v>
      </c>
      <c r="I810" s="111"/>
    </row>
    <row r="811" spans="3:9" ht="16.5" hidden="1" customHeight="1" x14ac:dyDescent="0.25">
      <c r="C811" s="226"/>
      <c r="D811" s="239" t="s">
        <v>774</v>
      </c>
      <c r="E811" s="195">
        <v>197000000</v>
      </c>
      <c r="F811" s="387">
        <v>196700000</v>
      </c>
      <c r="G811" s="388">
        <f t="shared" si="50"/>
        <v>99.847715736040612</v>
      </c>
      <c r="H811" s="388">
        <v>100</v>
      </c>
      <c r="I811" s="111"/>
    </row>
    <row r="812" spans="3:9" ht="16.5" hidden="1" customHeight="1" x14ac:dyDescent="0.25">
      <c r="C812" s="389"/>
      <c r="D812" s="239" t="s">
        <v>775</v>
      </c>
      <c r="E812" s="195">
        <v>2244000000</v>
      </c>
      <c r="F812" s="387">
        <v>2030320000</v>
      </c>
      <c r="G812" s="388">
        <f t="shared" si="50"/>
        <v>90.477718360071307</v>
      </c>
      <c r="H812" s="388">
        <v>92</v>
      </c>
      <c r="I812" s="111"/>
    </row>
    <row r="813" spans="3:9" ht="16.5" hidden="1" customHeight="1" x14ac:dyDescent="0.25">
      <c r="C813" s="389"/>
      <c r="D813" s="238" t="s">
        <v>776</v>
      </c>
      <c r="E813" s="195">
        <v>1385796000</v>
      </c>
      <c r="F813" s="385">
        <f>SUM(F814)</f>
        <v>1324694000</v>
      </c>
      <c r="G813" s="386">
        <f t="shared" si="50"/>
        <v>95.59083732381967</v>
      </c>
      <c r="H813" s="386">
        <f>SUM(H814)/1</f>
        <v>100</v>
      </c>
      <c r="I813" s="111"/>
    </row>
    <row r="814" spans="3:9" ht="16.5" hidden="1" customHeight="1" x14ac:dyDescent="0.25">
      <c r="C814" s="226"/>
      <c r="D814" s="239" t="s">
        <v>777</v>
      </c>
      <c r="E814" s="116">
        <v>1385796000</v>
      </c>
      <c r="F814" s="387">
        <v>1324694000</v>
      </c>
      <c r="G814" s="388">
        <f t="shared" si="50"/>
        <v>95.59083732381967</v>
      </c>
      <c r="H814" s="388">
        <v>100</v>
      </c>
      <c r="I814" s="111"/>
    </row>
    <row r="815" spans="3:9" ht="10.5" hidden="1" customHeight="1" x14ac:dyDescent="0.25">
      <c r="C815" s="226"/>
      <c r="D815" s="239"/>
      <c r="E815" s="116"/>
      <c r="F815" s="387"/>
      <c r="G815" s="386"/>
      <c r="H815" s="388"/>
      <c r="I815" s="111"/>
    </row>
    <row r="816" spans="3:9" ht="16.5" hidden="1" customHeight="1" x14ac:dyDescent="0.25">
      <c r="C816" s="226"/>
      <c r="D816" s="237" t="s">
        <v>549</v>
      </c>
      <c r="E816" s="195">
        <v>4286000000</v>
      </c>
      <c r="F816" s="385">
        <f>F817+F819+F821+F823</f>
        <v>3575827545</v>
      </c>
      <c r="G816" s="386">
        <f t="shared" ref="G816:G824" si="51">F816/E816*100</f>
        <v>83.430414022398509</v>
      </c>
      <c r="H816" s="386">
        <f>(H817+H819+H821+H823)/4</f>
        <v>87.25</v>
      </c>
      <c r="I816" s="111"/>
    </row>
    <row r="817" spans="3:9" ht="16.5" hidden="1" customHeight="1" x14ac:dyDescent="0.25">
      <c r="C817" s="226"/>
      <c r="D817" s="238" t="s">
        <v>778</v>
      </c>
      <c r="E817" s="195">
        <v>400000000</v>
      </c>
      <c r="F817" s="385">
        <f>SUM(F818)</f>
        <v>381353000</v>
      </c>
      <c r="G817" s="386">
        <f t="shared" si="51"/>
        <v>95.338250000000002</v>
      </c>
      <c r="H817" s="386">
        <f>SUM(H818)/1</f>
        <v>97</v>
      </c>
      <c r="I817" s="111"/>
    </row>
    <row r="818" spans="3:9" ht="16.5" hidden="1" customHeight="1" x14ac:dyDescent="0.25">
      <c r="C818" s="226"/>
      <c r="D818" s="239" t="s">
        <v>779</v>
      </c>
      <c r="E818" s="195">
        <v>400000000</v>
      </c>
      <c r="F818" s="387">
        <v>381353000</v>
      </c>
      <c r="G818" s="388">
        <f t="shared" si="51"/>
        <v>95.338250000000002</v>
      </c>
      <c r="H818" s="388">
        <v>97</v>
      </c>
      <c r="I818" s="111"/>
    </row>
    <row r="819" spans="3:9" ht="16.5" hidden="1" customHeight="1" x14ac:dyDescent="0.25">
      <c r="C819" s="226"/>
      <c r="D819" s="238" t="s">
        <v>780</v>
      </c>
      <c r="E819" s="195">
        <v>700000000</v>
      </c>
      <c r="F819" s="385">
        <f>SUM(F820)</f>
        <v>434237550</v>
      </c>
      <c r="G819" s="386">
        <f t="shared" si="51"/>
        <v>62.033935714285718</v>
      </c>
      <c r="H819" s="386">
        <f>SUM(H820)/1</f>
        <v>65</v>
      </c>
      <c r="I819" s="111"/>
    </row>
    <row r="820" spans="3:9" ht="18.75" hidden="1" customHeight="1" x14ac:dyDescent="0.25">
      <c r="C820" s="226"/>
      <c r="D820" s="239" t="s">
        <v>781</v>
      </c>
      <c r="E820" s="195">
        <v>700000000</v>
      </c>
      <c r="F820" s="387">
        <v>434237550</v>
      </c>
      <c r="G820" s="388">
        <f t="shared" si="51"/>
        <v>62.033935714285718</v>
      </c>
      <c r="H820" s="388">
        <v>65</v>
      </c>
      <c r="I820" s="111"/>
    </row>
    <row r="821" spans="3:9" ht="16.5" hidden="1" customHeight="1" x14ac:dyDescent="0.25">
      <c r="C821" s="226"/>
      <c r="D821" s="238" t="s">
        <v>782</v>
      </c>
      <c r="E821" s="195">
        <v>186000000</v>
      </c>
      <c r="F821" s="385">
        <f>SUM(F822)</f>
        <v>182578000</v>
      </c>
      <c r="G821" s="386">
        <f t="shared" si="51"/>
        <v>98.160215053763437</v>
      </c>
      <c r="H821" s="386">
        <f>SUM(H822)/1</f>
        <v>100</v>
      </c>
      <c r="I821" s="111"/>
    </row>
    <row r="822" spans="3:9" ht="16.5" hidden="1" customHeight="1" x14ac:dyDescent="0.25">
      <c r="C822" s="226"/>
      <c r="D822" s="239" t="s">
        <v>783</v>
      </c>
      <c r="E822" s="195">
        <v>186000000</v>
      </c>
      <c r="F822" s="387">
        <v>182578000</v>
      </c>
      <c r="G822" s="388">
        <f t="shared" si="51"/>
        <v>98.160215053763437</v>
      </c>
      <c r="H822" s="388">
        <v>100</v>
      </c>
      <c r="I822" s="111"/>
    </row>
    <row r="823" spans="3:9" ht="16.5" hidden="1" customHeight="1" x14ac:dyDescent="0.25">
      <c r="C823" s="226"/>
      <c r="D823" s="238" t="s">
        <v>784</v>
      </c>
      <c r="E823" s="195">
        <v>3000000000</v>
      </c>
      <c r="F823" s="385">
        <f>SUM(F824)</f>
        <v>2577658995</v>
      </c>
      <c r="G823" s="386">
        <f t="shared" si="51"/>
        <v>85.921966499999996</v>
      </c>
      <c r="H823" s="386">
        <f>SUM(H824)/1</f>
        <v>87</v>
      </c>
      <c r="I823" s="111"/>
    </row>
    <row r="824" spans="3:9" ht="16.5" hidden="1" customHeight="1" x14ac:dyDescent="0.25">
      <c r="C824" s="226"/>
      <c r="D824" s="239" t="s">
        <v>785</v>
      </c>
      <c r="E824" s="116">
        <v>3000000000</v>
      </c>
      <c r="F824" s="387">
        <v>2577658995</v>
      </c>
      <c r="G824" s="388">
        <f t="shared" si="51"/>
        <v>85.921966499999996</v>
      </c>
      <c r="H824" s="388">
        <v>87</v>
      </c>
      <c r="I824" s="111"/>
    </row>
    <row r="825" spans="3:9" ht="10.5" hidden="1" customHeight="1" x14ac:dyDescent="0.25">
      <c r="C825" s="226"/>
      <c r="D825" s="239"/>
      <c r="E825" s="116"/>
      <c r="F825" s="385"/>
      <c r="G825" s="386"/>
      <c r="H825" s="386"/>
      <c r="I825" s="111"/>
    </row>
    <row r="826" spans="3:9" ht="16.5" hidden="1" customHeight="1" x14ac:dyDescent="0.25">
      <c r="C826" s="226"/>
      <c r="D826" s="237" t="s">
        <v>786</v>
      </c>
      <c r="E826" s="116">
        <v>9500000000</v>
      </c>
      <c r="F826" s="385">
        <f>F827</f>
        <v>7200276000</v>
      </c>
      <c r="G826" s="386">
        <f>F826/E826*100</f>
        <v>75.79237894736842</v>
      </c>
      <c r="H826" s="386">
        <f>(H827)/1</f>
        <v>80</v>
      </c>
      <c r="I826" s="111"/>
    </row>
    <row r="827" spans="3:9" ht="16.5" hidden="1" customHeight="1" x14ac:dyDescent="0.25">
      <c r="C827" s="226"/>
      <c r="D827" s="238" t="s">
        <v>787</v>
      </c>
      <c r="E827" s="116">
        <v>9500000000</v>
      </c>
      <c r="F827" s="385">
        <f>F828</f>
        <v>7200276000</v>
      </c>
      <c r="G827" s="386">
        <f>F827/E827*100</f>
        <v>75.79237894736842</v>
      </c>
      <c r="H827" s="386">
        <f>(H828)/1</f>
        <v>80</v>
      </c>
      <c r="I827" s="111"/>
    </row>
    <row r="828" spans="3:9" ht="16.5" hidden="1" customHeight="1" x14ac:dyDescent="0.25">
      <c r="C828" s="226"/>
      <c r="D828" s="239" t="s">
        <v>788</v>
      </c>
      <c r="E828" s="116">
        <v>9500000000</v>
      </c>
      <c r="F828" s="387">
        <v>7200276000</v>
      </c>
      <c r="G828" s="388">
        <f>F828/E828*100</f>
        <v>75.79237894736842</v>
      </c>
      <c r="H828" s="388">
        <v>80</v>
      </c>
      <c r="I828" s="111"/>
    </row>
    <row r="829" spans="3:9" ht="10.5" hidden="1" customHeight="1" x14ac:dyDescent="0.25">
      <c r="C829" s="226"/>
      <c r="D829" s="239"/>
      <c r="E829" s="116"/>
      <c r="F829" s="387"/>
      <c r="G829" s="386"/>
      <c r="H829" s="388"/>
      <c r="I829" s="111"/>
    </row>
    <row r="830" spans="3:9" ht="16.5" hidden="1" customHeight="1" x14ac:dyDescent="0.25">
      <c r="C830" s="389"/>
      <c r="D830" s="237" t="s">
        <v>624</v>
      </c>
      <c r="E830" s="116">
        <v>607869000</v>
      </c>
      <c r="F830" s="385">
        <f>F831</f>
        <v>566946450</v>
      </c>
      <c r="G830" s="386">
        <f>F830/E830*100</f>
        <v>93.26786692527503</v>
      </c>
      <c r="H830" s="386">
        <f>(H831)/1</f>
        <v>95</v>
      </c>
      <c r="I830" s="111"/>
    </row>
    <row r="831" spans="3:9" ht="18.75" hidden="1" customHeight="1" x14ac:dyDescent="0.25">
      <c r="C831" s="226"/>
      <c r="D831" s="238" t="s">
        <v>789</v>
      </c>
      <c r="E831" s="116">
        <v>607869000</v>
      </c>
      <c r="F831" s="385">
        <f>F832</f>
        <v>566946450</v>
      </c>
      <c r="G831" s="386">
        <f>F831/E831*100</f>
        <v>93.26786692527503</v>
      </c>
      <c r="H831" s="386">
        <f>(H832)/1</f>
        <v>95</v>
      </c>
      <c r="I831" s="111"/>
    </row>
    <row r="832" spans="3:9" ht="18.75" hidden="1" customHeight="1" x14ac:dyDescent="0.25">
      <c r="C832" s="226"/>
      <c r="D832" s="239" t="s">
        <v>790</v>
      </c>
      <c r="E832" s="116">
        <v>607869000</v>
      </c>
      <c r="F832" s="387">
        <v>566946450</v>
      </c>
      <c r="G832" s="388">
        <f>F832/E832*100</f>
        <v>93.26786692527503</v>
      </c>
      <c r="H832" s="388">
        <v>95</v>
      </c>
      <c r="I832" s="111"/>
    </row>
    <row r="833" spans="3:9" ht="10.5" hidden="1" customHeight="1" x14ac:dyDescent="0.25">
      <c r="C833" s="226"/>
      <c r="D833" s="239"/>
      <c r="E833" s="116"/>
      <c r="F833" s="387"/>
      <c r="G833" s="386"/>
      <c r="H833" s="388"/>
      <c r="I833" s="111"/>
    </row>
    <row r="834" spans="3:9" ht="16.5" hidden="1" customHeight="1" x14ac:dyDescent="0.25">
      <c r="C834" s="226"/>
      <c r="D834" s="237" t="s">
        <v>791</v>
      </c>
      <c r="E834" s="116">
        <v>1442400440</v>
      </c>
      <c r="F834" s="385">
        <f>SUM(F835)</f>
        <v>1237440000</v>
      </c>
      <c r="G834" s="386">
        <f>F834/E834*100</f>
        <v>85.790323247544208</v>
      </c>
      <c r="H834" s="386">
        <f>SUM(H835)/1</f>
        <v>95</v>
      </c>
      <c r="I834" s="111"/>
    </row>
    <row r="835" spans="3:9" ht="16.5" hidden="1" customHeight="1" x14ac:dyDescent="0.25">
      <c r="C835" s="226"/>
      <c r="D835" s="238" t="s">
        <v>792</v>
      </c>
      <c r="E835" s="116">
        <v>1442400440</v>
      </c>
      <c r="F835" s="385">
        <f>SUM(F836:F837)</f>
        <v>1237440000</v>
      </c>
      <c r="G835" s="386">
        <f>F835/E835*100</f>
        <v>85.790323247544208</v>
      </c>
      <c r="H835" s="386">
        <f>SUM(H836:H837)/2</f>
        <v>95</v>
      </c>
      <c r="I835" s="111"/>
    </row>
    <row r="836" spans="3:9" ht="16.5" hidden="1" customHeight="1" x14ac:dyDescent="0.25">
      <c r="C836" s="226"/>
      <c r="D836" s="240" t="s">
        <v>793</v>
      </c>
      <c r="E836" s="116">
        <v>294160000</v>
      </c>
      <c r="F836" s="387">
        <v>226915000</v>
      </c>
      <c r="G836" s="388">
        <f>F836/E836*100</f>
        <v>77.139991841174876</v>
      </c>
      <c r="H836" s="388">
        <v>100</v>
      </c>
      <c r="I836" s="111"/>
    </row>
    <row r="837" spans="3:9" ht="16.5" hidden="1" customHeight="1" x14ac:dyDescent="0.25">
      <c r="C837" s="226"/>
      <c r="D837" s="239" t="s">
        <v>794</v>
      </c>
      <c r="E837" s="116">
        <v>1148240440</v>
      </c>
      <c r="F837" s="387">
        <v>1010525000</v>
      </c>
      <c r="G837" s="388">
        <f>F837/E837*100</f>
        <v>88.006393504134024</v>
      </c>
      <c r="H837" s="388">
        <v>90</v>
      </c>
      <c r="I837" s="111"/>
    </row>
    <row r="838" spans="3:9" ht="10.5" hidden="1" customHeight="1" x14ac:dyDescent="0.25">
      <c r="C838" s="109"/>
      <c r="D838" s="111"/>
      <c r="E838" s="116"/>
      <c r="F838" s="108"/>
      <c r="G838" s="117"/>
      <c r="H838" s="117"/>
      <c r="I838" s="111"/>
    </row>
    <row r="839" spans="3:9" s="115" customFormat="1" ht="16.5" customHeight="1" x14ac:dyDescent="0.25">
      <c r="C839" s="222" t="s">
        <v>795</v>
      </c>
      <c r="D839" s="241" t="s">
        <v>796</v>
      </c>
      <c r="E839" s="195">
        <f>+E840+E876+E905+E916+E924+E929+E935+E940+E945+E965+E978+E985+E998+E1006+E1011+E1026+E1030+E1037+E1054+E1060+E1073+E1083</f>
        <v>117040104000</v>
      </c>
      <c r="F839" s="113">
        <f>F840+F876+F905+F916+F924+F929+F936+F941+F946+F965+F979+F986+F998+F1006+F1011+F1026+F1030+F1037+F1054+F1061+F1073+F1083</f>
        <v>98846404684</v>
      </c>
      <c r="G839" s="114">
        <f t="shared" ref="G839:G873" si="52">F839/E839*100</f>
        <v>84.455157938000468</v>
      </c>
      <c r="H839" s="114">
        <f>(H840+H876+H905+H916+H924+H929+H936+H941+H946+H965+H979+H986+H998+H1006+H1011+H1026+H1030+H1037+H1054+H1061+H1073+H1083)/22</f>
        <v>90.742499178462779</v>
      </c>
      <c r="I839" s="121"/>
    </row>
    <row r="840" spans="3:9" ht="16.5" hidden="1" customHeight="1" x14ac:dyDescent="0.25">
      <c r="C840" s="226"/>
      <c r="D840" s="48" t="s">
        <v>82</v>
      </c>
      <c r="E840" s="112">
        <v>22104031200</v>
      </c>
      <c r="F840" s="242">
        <f>F841+F847+F862+F864+F869+F872</f>
        <v>21702308860</v>
      </c>
      <c r="G840" s="114">
        <f t="shared" si="52"/>
        <v>98.18258336515558</v>
      </c>
      <c r="H840" s="114">
        <f>(H841+H847+H862+H864+H869+H872)/6</f>
        <v>94.761904761904759</v>
      </c>
      <c r="I840" s="111"/>
    </row>
    <row r="841" spans="3:9" ht="16.5" hidden="1" customHeight="1" x14ac:dyDescent="0.25">
      <c r="C841" s="222"/>
      <c r="D841" s="48" t="s">
        <v>797</v>
      </c>
      <c r="E841" s="112">
        <v>5230000000</v>
      </c>
      <c r="F841" s="242">
        <f>SUM(F842:F846)</f>
        <v>5154080700</v>
      </c>
      <c r="G841" s="114">
        <f t="shared" si="52"/>
        <v>98.548388145315485</v>
      </c>
      <c r="H841" s="114">
        <f>SUM(H842:H846)/7</f>
        <v>71.428571428571431</v>
      </c>
      <c r="I841" s="111"/>
    </row>
    <row r="842" spans="3:9" ht="16.5" hidden="1" customHeight="1" x14ac:dyDescent="0.25">
      <c r="C842" s="226"/>
      <c r="D842" s="32" t="s">
        <v>798</v>
      </c>
      <c r="E842" s="172">
        <v>150000000</v>
      </c>
      <c r="F842" s="243">
        <v>142570700</v>
      </c>
      <c r="G842" s="117">
        <f t="shared" si="52"/>
        <v>95.047133333333335</v>
      </c>
      <c r="H842" s="117">
        <v>100</v>
      </c>
      <c r="I842" s="111"/>
    </row>
    <row r="843" spans="3:9" ht="16.5" hidden="1" customHeight="1" x14ac:dyDescent="0.25">
      <c r="C843" s="226"/>
      <c r="D843" s="32" t="s">
        <v>799</v>
      </c>
      <c r="E843" s="172">
        <v>1980000000</v>
      </c>
      <c r="F843" s="243">
        <v>1943325000</v>
      </c>
      <c r="G843" s="117">
        <f t="shared" si="52"/>
        <v>98.147727272727266</v>
      </c>
      <c r="H843" s="117">
        <v>100</v>
      </c>
      <c r="I843" s="111"/>
    </row>
    <row r="844" spans="3:9" ht="16.5" hidden="1" customHeight="1" x14ac:dyDescent="0.25">
      <c r="C844" s="226"/>
      <c r="D844" s="32" t="s">
        <v>800</v>
      </c>
      <c r="E844" s="172">
        <v>300000000</v>
      </c>
      <c r="F844" s="243">
        <v>293185000</v>
      </c>
      <c r="G844" s="117">
        <f t="shared" si="52"/>
        <v>97.728333333333325</v>
      </c>
      <c r="H844" s="117">
        <v>100</v>
      </c>
      <c r="I844" s="111"/>
    </row>
    <row r="845" spans="3:9" ht="16.5" hidden="1" customHeight="1" x14ac:dyDescent="0.25">
      <c r="C845" s="222"/>
      <c r="D845" s="32" t="s">
        <v>801</v>
      </c>
      <c r="E845" s="172">
        <v>2500000000</v>
      </c>
      <c r="F845" s="243">
        <v>2475000000</v>
      </c>
      <c r="G845" s="117">
        <f t="shared" si="52"/>
        <v>99</v>
      </c>
      <c r="H845" s="117">
        <v>100</v>
      </c>
      <c r="I845" s="111"/>
    </row>
    <row r="846" spans="3:9" ht="28.5" hidden="1" customHeight="1" x14ac:dyDescent="0.25">
      <c r="C846" s="226"/>
      <c r="D846" s="119" t="s">
        <v>802</v>
      </c>
      <c r="E846" s="172">
        <v>300000000</v>
      </c>
      <c r="F846" s="243">
        <v>300000000</v>
      </c>
      <c r="G846" s="117">
        <f t="shared" si="52"/>
        <v>100</v>
      </c>
      <c r="H846" s="117">
        <v>100</v>
      </c>
      <c r="I846" s="111"/>
    </row>
    <row r="847" spans="3:9" ht="16.5" hidden="1" customHeight="1" x14ac:dyDescent="0.25">
      <c r="C847" s="226"/>
      <c r="D847" s="48" t="s">
        <v>680</v>
      </c>
      <c r="E847" s="112">
        <v>11344031200</v>
      </c>
      <c r="F847" s="242">
        <f>SUM(F848:F861)</f>
        <v>11069586263</v>
      </c>
      <c r="G847" s="114">
        <f t="shared" si="52"/>
        <v>97.580710664829624</v>
      </c>
      <c r="H847" s="114">
        <f>SUM(H848:H861)/14</f>
        <v>97.142857142857139</v>
      </c>
      <c r="I847" s="111"/>
    </row>
    <row r="848" spans="3:9" ht="16.5" hidden="1" customHeight="1" x14ac:dyDescent="0.25">
      <c r="C848" s="226"/>
      <c r="D848" s="32" t="s">
        <v>803</v>
      </c>
      <c r="E848" s="172">
        <v>1890000000</v>
      </c>
      <c r="F848" s="243">
        <v>1859335000</v>
      </c>
      <c r="G848" s="117">
        <f t="shared" si="52"/>
        <v>98.377513227513219</v>
      </c>
      <c r="H848" s="117">
        <v>100</v>
      </c>
      <c r="I848" s="111"/>
    </row>
    <row r="849" spans="3:9" ht="30.75" hidden="1" customHeight="1" x14ac:dyDescent="0.25">
      <c r="C849" s="389"/>
      <c r="D849" s="119" t="s">
        <v>804</v>
      </c>
      <c r="E849" s="172">
        <v>125000000</v>
      </c>
      <c r="F849" s="243">
        <v>123951000</v>
      </c>
      <c r="G849" s="117">
        <f t="shared" si="52"/>
        <v>99.160800000000009</v>
      </c>
      <c r="H849" s="117">
        <v>100</v>
      </c>
      <c r="I849" s="111"/>
    </row>
    <row r="850" spans="3:9" ht="16.5" hidden="1" customHeight="1" x14ac:dyDescent="0.25">
      <c r="C850" s="226"/>
      <c r="D850" s="32" t="s">
        <v>805</v>
      </c>
      <c r="E850" s="172">
        <v>200000000</v>
      </c>
      <c r="F850" s="243">
        <v>190422700</v>
      </c>
      <c r="G850" s="117">
        <f t="shared" si="52"/>
        <v>95.211349999999996</v>
      </c>
      <c r="H850" s="117">
        <v>100</v>
      </c>
      <c r="I850" s="111"/>
    </row>
    <row r="851" spans="3:9" s="142" customFormat="1" ht="29.25" hidden="1" customHeight="1" x14ac:dyDescent="0.25">
      <c r="C851" s="390"/>
      <c r="D851" s="119" t="s">
        <v>806</v>
      </c>
      <c r="E851" s="244">
        <v>200000000</v>
      </c>
      <c r="F851" s="243">
        <v>200000000</v>
      </c>
      <c r="G851" s="245">
        <f t="shared" si="52"/>
        <v>100</v>
      </c>
      <c r="H851" s="245">
        <v>100</v>
      </c>
      <c r="I851" s="118"/>
    </row>
    <row r="852" spans="3:9" ht="16.5" hidden="1" customHeight="1" x14ac:dyDescent="0.25">
      <c r="C852" s="226"/>
      <c r="D852" s="32" t="s">
        <v>807</v>
      </c>
      <c r="E852" s="172">
        <v>75000000</v>
      </c>
      <c r="F852" s="243">
        <v>74354000</v>
      </c>
      <c r="G852" s="117">
        <f t="shared" si="52"/>
        <v>99.138666666666666</v>
      </c>
      <c r="H852" s="117">
        <v>100</v>
      </c>
      <c r="I852" s="111"/>
    </row>
    <row r="853" spans="3:9" ht="16.5" hidden="1" customHeight="1" x14ac:dyDescent="0.25">
      <c r="C853" s="226"/>
      <c r="D853" s="32" t="s">
        <v>808</v>
      </c>
      <c r="E853" s="172">
        <v>100000000</v>
      </c>
      <c r="F853" s="243">
        <v>57072363</v>
      </c>
      <c r="G853" s="117">
        <f t="shared" si="52"/>
        <v>57.072363000000003</v>
      </c>
      <c r="H853" s="117">
        <v>60</v>
      </c>
      <c r="I853" s="111"/>
    </row>
    <row r="854" spans="3:9" ht="16.5" hidden="1" customHeight="1" x14ac:dyDescent="0.25">
      <c r="C854" s="226"/>
      <c r="D854" s="32" t="s">
        <v>809</v>
      </c>
      <c r="E854" s="172">
        <v>100000000</v>
      </c>
      <c r="F854" s="243">
        <v>98196000</v>
      </c>
      <c r="G854" s="117">
        <f t="shared" si="52"/>
        <v>98.196000000000012</v>
      </c>
      <c r="H854" s="117">
        <v>100</v>
      </c>
      <c r="I854" s="111"/>
    </row>
    <row r="855" spans="3:9" ht="16.5" hidden="1" customHeight="1" x14ac:dyDescent="0.25">
      <c r="C855" s="222"/>
      <c r="D855" s="32" t="s">
        <v>810</v>
      </c>
      <c r="E855" s="172">
        <v>4216464000</v>
      </c>
      <c r="F855" s="243">
        <v>4116012000</v>
      </c>
      <c r="G855" s="117">
        <f t="shared" si="52"/>
        <v>97.617624625752768</v>
      </c>
      <c r="H855" s="117">
        <v>100</v>
      </c>
      <c r="I855" s="111"/>
    </row>
    <row r="856" spans="3:9" ht="16.5" hidden="1" customHeight="1" x14ac:dyDescent="0.25">
      <c r="C856" s="226"/>
      <c r="D856" s="32" t="s">
        <v>811</v>
      </c>
      <c r="E856" s="172">
        <v>1615680000</v>
      </c>
      <c r="F856" s="243">
        <v>1549007000</v>
      </c>
      <c r="G856" s="117">
        <f t="shared" si="52"/>
        <v>95.873378391760738</v>
      </c>
      <c r="H856" s="117">
        <v>100</v>
      </c>
      <c r="I856" s="111"/>
    </row>
    <row r="857" spans="3:9" ht="33.75" hidden="1" customHeight="1" x14ac:dyDescent="0.25">
      <c r="C857" s="389"/>
      <c r="D857" s="119" t="s">
        <v>812</v>
      </c>
      <c r="E857" s="172">
        <v>171887200</v>
      </c>
      <c r="F857" s="243">
        <v>171887200</v>
      </c>
      <c r="G857" s="117">
        <f t="shared" si="52"/>
        <v>100</v>
      </c>
      <c r="H857" s="117">
        <v>100</v>
      </c>
      <c r="I857" s="111"/>
    </row>
    <row r="858" spans="3:9" ht="16.5" hidden="1" customHeight="1" x14ac:dyDescent="0.25">
      <c r="C858" s="222"/>
      <c r="D858" s="32" t="s">
        <v>813</v>
      </c>
      <c r="E858" s="172">
        <v>125000000</v>
      </c>
      <c r="F858" s="243">
        <v>117000000</v>
      </c>
      <c r="G858" s="117">
        <f t="shared" si="52"/>
        <v>93.600000000000009</v>
      </c>
      <c r="H858" s="117">
        <v>100</v>
      </c>
      <c r="I858" s="111"/>
    </row>
    <row r="859" spans="3:9" ht="16.5" hidden="1" customHeight="1" x14ac:dyDescent="0.25">
      <c r="C859" s="226"/>
      <c r="D859" s="32" t="s">
        <v>814</v>
      </c>
      <c r="E859" s="172">
        <v>75000000</v>
      </c>
      <c r="F859" s="243">
        <v>72285000</v>
      </c>
      <c r="G859" s="117">
        <f t="shared" si="52"/>
        <v>96.38</v>
      </c>
      <c r="H859" s="117">
        <v>100</v>
      </c>
      <c r="I859" s="111"/>
    </row>
    <row r="860" spans="3:9" ht="16.5" hidden="1" customHeight="1" x14ac:dyDescent="0.25">
      <c r="C860" s="226"/>
      <c r="D860" s="32" t="s">
        <v>815</v>
      </c>
      <c r="E860" s="172">
        <v>950000000</v>
      </c>
      <c r="F860" s="243">
        <v>945531000</v>
      </c>
      <c r="G860" s="117">
        <f t="shared" si="52"/>
        <v>99.529578947368421</v>
      </c>
      <c r="H860" s="117">
        <v>100</v>
      </c>
      <c r="I860" s="111"/>
    </row>
    <row r="861" spans="3:9" ht="16.5" hidden="1" customHeight="1" x14ac:dyDescent="0.25">
      <c r="C861" s="226"/>
      <c r="D861" s="32" t="s">
        <v>816</v>
      </c>
      <c r="E861" s="172">
        <v>1500000000</v>
      </c>
      <c r="F861" s="243">
        <v>1494533000</v>
      </c>
      <c r="G861" s="117">
        <f t="shared" si="52"/>
        <v>99.635533333333342</v>
      </c>
      <c r="H861" s="117">
        <v>100</v>
      </c>
      <c r="I861" s="111"/>
    </row>
    <row r="862" spans="3:9" ht="16.5" hidden="1" customHeight="1" x14ac:dyDescent="0.25">
      <c r="C862" s="226"/>
      <c r="D862" s="48" t="s">
        <v>693</v>
      </c>
      <c r="E862" s="112">
        <v>900000000</v>
      </c>
      <c r="F862" s="242">
        <f>F863</f>
        <v>893200000</v>
      </c>
      <c r="G862" s="114">
        <f t="shared" si="52"/>
        <v>99.24444444444444</v>
      </c>
      <c r="H862" s="114">
        <v>100</v>
      </c>
      <c r="I862" s="111"/>
    </row>
    <row r="863" spans="3:9" ht="16.5" hidden="1" customHeight="1" x14ac:dyDescent="0.25">
      <c r="C863" s="389"/>
      <c r="D863" s="32" t="s">
        <v>817</v>
      </c>
      <c r="E863" s="172">
        <v>900000000</v>
      </c>
      <c r="F863" s="243">
        <v>893200000</v>
      </c>
      <c r="G863" s="117">
        <f t="shared" si="52"/>
        <v>99.24444444444444</v>
      </c>
      <c r="H863" s="117">
        <v>100</v>
      </c>
      <c r="I863" s="111"/>
    </row>
    <row r="864" spans="3:9" ht="16.5" hidden="1" customHeight="1" x14ac:dyDescent="0.25">
      <c r="C864" s="226"/>
      <c r="D864" s="48" t="s">
        <v>92</v>
      </c>
      <c r="E864" s="112">
        <v>2100000000</v>
      </c>
      <c r="F864" s="242">
        <f>SUM(F865:F868)</f>
        <v>2096652000</v>
      </c>
      <c r="G864" s="114">
        <f t="shared" si="52"/>
        <v>99.840571428571437</v>
      </c>
      <c r="H864" s="114">
        <f>SUM(H865:H868)/4</f>
        <v>100</v>
      </c>
      <c r="I864" s="111"/>
    </row>
    <row r="865" spans="3:9" ht="36.75" hidden="1" customHeight="1" x14ac:dyDescent="0.25">
      <c r="C865" s="226"/>
      <c r="D865" s="119" t="s">
        <v>818</v>
      </c>
      <c r="E865" s="172">
        <v>480000000</v>
      </c>
      <c r="F865" s="243">
        <v>480000000</v>
      </c>
      <c r="G865" s="117">
        <f t="shared" si="52"/>
        <v>100</v>
      </c>
      <c r="H865" s="117">
        <v>100</v>
      </c>
      <c r="I865" s="111"/>
    </row>
    <row r="866" spans="3:9" ht="16.5" hidden="1" customHeight="1" x14ac:dyDescent="0.25">
      <c r="C866" s="226"/>
      <c r="D866" s="32" t="s">
        <v>819</v>
      </c>
      <c r="E866" s="172">
        <v>120000000</v>
      </c>
      <c r="F866" s="243">
        <v>119708000</v>
      </c>
      <c r="G866" s="117">
        <f t="shared" si="52"/>
        <v>99.756666666666675</v>
      </c>
      <c r="H866" s="117">
        <v>100</v>
      </c>
      <c r="I866" s="111"/>
    </row>
    <row r="867" spans="3:9" ht="36.75" hidden="1" customHeight="1" x14ac:dyDescent="0.25">
      <c r="C867" s="226"/>
      <c r="D867" s="119" t="s">
        <v>820</v>
      </c>
      <c r="E867" s="172">
        <v>300000000</v>
      </c>
      <c r="F867" s="243">
        <v>300000000</v>
      </c>
      <c r="G867" s="117">
        <f t="shared" si="52"/>
        <v>100</v>
      </c>
      <c r="H867" s="117">
        <v>100</v>
      </c>
      <c r="I867" s="111"/>
    </row>
    <row r="868" spans="3:9" ht="16.5" hidden="1" customHeight="1" x14ac:dyDescent="0.25">
      <c r="C868" s="222"/>
      <c r="D868" s="32" t="s">
        <v>821</v>
      </c>
      <c r="E868" s="172">
        <v>1200000000</v>
      </c>
      <c r="F868" s="243">
        <v>1196944000</v>
      </c>
      <c r="G868" s="117">
        <f t="shared" si="52"/>
        <v>99.745333333333335</v>
      </c>
      <c r="H868" s="117">
        <v>100</v>
      </c>
      <c r="I868" s="111"/>
    </row>
    <row r="869" spans="3:9" ht="16.5" hidden="1" customHeight="1" x14ac:dyDescent="0.25">
      <c r="C869" s="226"/>
      <c r="D869" s="48" t="s">
        <v>100</v>
      </c>
      <c r="E869" s="112">
        <v>630000000</v>
      </c>
      <c r="F869" s="242">
        <f>SUM(F870:F871)</f>
        <v>629935497</v>
      </c>
      <c r="G869" s="114">
        <f t="shared" si="52"/>
        <v>99.989761428571427</v>
      </c>
      <c r="H869" s="114">
        <v>100</v>
      </c>
      <c r="I869" s="111"/>
    </row>
    <row r="870" spans="3:9" ht="16.5" hidden="1" customHeight="1" x14ac:dyDescent="0.25">
      <c r="C870" s="226"/>
      <c r="D870" s="32" t="s">
        <v>101</v>
      </c>
      <c r="E870" s="172">
        <v>510000000</v>
      </c>
      <c r="F870" s="243">
        <v>509935497</v>
      </c>
      <c r="G870" s="117">
        <f t="shared" si="52"/>
        <v>99.987352352941173</v>
      </c>
      <c r="H870" s="117">
        <v>100</v>
      </c>
      <c r="I870" s="111"/>
    </row>
    <row r="871" spans="3:9" ht="16.5" hidden="1" customHeight="1" x14ac:dyDescent="0.25">
      <c r="C871" s="222"/>
      <c r="D871" s="32" t="s">
        <v>822</v>
      </c>
      <c r="E871" s="172">
        <v>120000000</v>
      </c>
      <c r="F871" s="243">
        <v>120000000</v>
      </c>
      <c r="G871" s="117">
        <f t="shared" si="52"/>
        <v>100</v>
      </c>
      <c r="H871" s="117">
        <v>100</v>
      </c>
      <c r="I871" s="111"/>
    </row>
    <row r="872" spans="3:9" ht="16.5" hidden="1" customHeight="1" x14ac:dyDescent="0.25">
      <c r="C872" s="226"/>
      <c r="D872" s="48" t="s">
        <v>109</v>
      </c>
      <c r="E872" s="112">
        <v>1900000000</v>
      </c>
      <c r="F872" s="242">
        <f>F873</f>
        <v>1858854400</v>
      </c>
      <c r="G872" s="114">
        <f t="shared" si="52"/>
        <v>97.83444210526315</v>
      </c>
      <c r="H872" s="114">
        <v>100</v>
      </c>
      <c r="I872" s="111"/>
    </row>
    <row r="873" spans="3:9" ht="16.5" hidden="1" customHeight="1" x14ac:dyDescent="0.25">
      <c r="C873" s="226"/>
      <c r="D873" s="32" t="s">
        <v>823</v>
      </c>
      <c r="E873" s="172">
        <v>1900000000</v>
      </c>
      <c r="F873" s="243">
        <v>1858854400</v>
      </c>
      <c r="G873" s="117">
        <f t="shared" si="52"/>
        <v>97.83444210526315</v>
      </c>
      <c r="H873" s="117">
        <v>100</v>
      </c>
      <c r="I873" s="111"/>
    </row>
    <row r="874" spans="3:9" ht="10.5" hidden="1" customHeight="1" x14ac:dyDescent="0.25">
      <c r="C874" s="226"/>
      <c r="D874" s="32"/>
      <c r="E874" s="172"/>
      <c r="F874" s="108"/>
      <c r="G874" s="117"/>
      <c r="H874" s="117"/>
      <c r="I874" s="111"/>
    </row>
    <row r="875" spans="3:9" ht="16.5" hidden="1" customHeight="1" x14ac:dyDescent="0.25">
      <c r="C875" s="226"/>
      <c r="D875" s="48" t="s">
        <v>824</v>
      </c>
      <c r="E875" s="112">
        <v>16906015600</v>
      </c>
      <c r="F875" s="108">
        <v>5426950988</v>
      </c>
      <c r="G875" s="117">
        <f t="shared" ref="G875:G903" si="53">F875/E875*100</f>
        <v>32.100709690579016</v>
      </c>
      <c r="H875" s="117">
        <v>52.100709690579016</v>
      </c>
      <c r="I875" s="111"/>
    </row>
    <row r="876" spans="3:9" s="115" customFormat="1" ht="16.5" hidden="1" customHeight="1" x14ac:dyDescent="0.25">
      <c r="C876" s="222"/>
      <c r="D876" s="48" t="s">
        <v>150</v>
      </c>
      <c r="E876" s="112">
        <v>9206015600</v>
      </c>
      <c r="F876" s="242">
        <f>F877+F882+F884+F887+F891+F895+F900</f>
        <v>8445802846</v>
      </c>
      <c r="G876" s="114">
        <f t="shared" si="53"/>
        <v>91.742217404020039</v>
      </c>
      <c r="H876" s="114">
        <f>(H877+H882+H884+H887+H891+H895+H900)/7</f>
        <v>89.166666666666671</v>
      </c>
      <c r="I876" s="121"/>
    </row>
    <row r="877" spans="3:9" ht="16.5" hidden="1" customHeight="1" x14ac:dyDescent="0.25">
      <c r="C877" s="226"/>
      <c r="D877" s="48" t="s">
        <v>825</v>
      </c>
      <c r="E877" s="112">
        <v>350000000</v>
      </c>
      <c r="F877" s="242">
        <f>SUM(F878:F881)</f>
        <v>235907000</v>
      </c>
      <c r="G877" s="114">
        <f t="shared" si="53"/>
        <v>67.402000000000001</v>
      </c>
      <c r="H877" s="114">
        <f>SUM(H878:H881)/4</f>
        <v>75</v>
      </c>
      <c r="I877" s="111"/>
    </row>
    <row r="878" spans="3:9" ht="16.5" hidden="1" customHeight="1" x14ac:dyDescent="0.25">
      <c r="C878" s="226"/>
      <c r="D878" s="32" t="s">
        <v>826</v>
      </c>
      <c r="E878" s="172">
        <v>75000000</v>
      </c>
      <c r="F878" s="243">
        <v>70623000</v>
      </c>
      <c r="G878" s="117">
        <f t="shared" si="53"/>
        <v>94.164000000000001</v>
      </c>
      <c r="H878" s="117">
        <v>100</v>
      </c>
      <c r="I878" s="111"/>
    </row>
    <row r="879" spans="3:9" ht="16.5" hidden="1" customHeight="1" x14ac:dyDescent="0.25">
      <c r="C879" s="226"/>
      <c r="D879" s="32" t="s">
        <v>827</v>
      </c>
      <c r="E879" s="172">
        <v>100000000</v>
      </c>
      <c r="F879" s="243">
        <v>92049000</v>
      </c>
      <c r="G879" s="117">
        <f t="shared" si="53"/>
        <v>92.049000000000007</v>
      </c>
      <c r="H879" s="117">
        <v>100</v>
      </c>
      <c r="I879" s="111"/>
    </row>
    <row r="880" spans="3:9" ht="16.5" hidden="1" customHeight="1" x14ac:dyDescent="0.25">
      <c r="C880" s="226"/>
      <c r="D880" s="32" t="s">
        <v>828</v>
      </c>
      <c r="E880" s="172">
        <v>100000000</v>
      </c>
      <c r="F880" s="243"/>
      <c r="G880" s="117">
        <f t="shared" si="53"/>
        <v>0</v>
      </c>
      <c r="H880" s="117"/>
      <c r="I880" s="111"/>
    </row>
    <row r="881" spans="3:9" ht="16.5" hidden="1" customHeight="1" x14ac:dyDescent="0.25">
      <c r="C881" s="226"/>
      <c r="D881" s="32" t="s">
        <v>829</v>
      </c>
      <c r="E881" s="172">
        <v>75000000</v>
      </c>
      <c r="F881" s="243">
        <v>73235000</v>
      </c>
      <c r="G881" s="117">
        <f t="shared" si="53"/>
        <v>97.646666666666675</v>
      </c>
      <c r="H881" s="117">
        <v>100</v>
      </c>
      <c r="I881" s="111"/>
    </row>
    <row r="882" spans="3:9" ht="16.5" hidden="1" customHeight="1" x14ac:dyDescent="0.25">
      <c r="C882" s="226"/>
      <c r="D882" s="48" t="s">
        <v>156</v>
      </c>
      <c r="E882" s="112">
        <v>4000000000</v>
      </c>
      <c r="F882" s="242">
        <f>F883</f>
        <v>3972841846</v>
      </c>
      <c r="G882" s="114">
        <f t="shared" si="53"/>
        <v>99.321046150000001</v>
      </c>
      <c r="H882" s="114">
        <f>H883</f>
        <v>100</v>
      </c>
      <c r="I882" s="111"/>
    </row>
    <row r="883" spans="3:9" ht="16.5" hidden="1" customHeight="1" x14ac:dyDescent="0.25">
      <c r="C883" s="226"/>
      <c r="D883" s="32" t="s">
        <v>830</v>
      </c>
      <c r="E883" s="172">
        <v>4000000000</v>
      </c>
      <c r="F883" s="243">
        <v>3972841846</v>
      </c>
      <c r="G883" s="117">
        <f t="shared" si="53"/>
        <v>99.321046150000001</v>
      </c>
      <c r="H883" s="117">
        <v>100</v>
      </c>
      <c r="I883" s="111"/>
    </row>
    <row r="884" spans="3:9" ht="16.5" hidden="1" customHeight="1" x14ac:dyDescent="0.25">
      <c r="C884" s="226"/>
      <c r="D884" s="48" t="s">
        <v>166</v>
      </c>
      <c r="E884" s="112">
        <v>1850000000</v>
      </c>
      <c r="F884" s="242">
        <f>SUM(F885:F886)</f>
        <v>1698214000</v>
      </c>
      <c r="G884" s="114">
        <f t="shared" si="53"/>
        <v>91.795351351351357</v>
      </c>
      <c r="H884" s="114">
        <f>(H885+H886)/2</f>
        <v>80</v>
      </c>
      <c r="I884" s="111"/>
    </row>
    <row r="885" spans="3:9" ht="16.5" hidden="1" customHeight="1" x14ac:dyDescent="0.25">
      <c r="C885" s="222"/>
      <c r="D885" s="32" t="s">
        <v>831</v>
      </c>
      <c r="E885" s="172">
        <v>1500000000</v>
      </c>
      <c r="F885" s="243">
        <v>1499319000</v>
      </c>
      <c r="G885" s="117">
        <f t="shared" si="53"/>
        <v>99.954599999999999</v>
      </c>
      <c r="H885" s="117">
        <v>100</v>
      </c>
      <c r="I885" s="111"/>
    </row>
    <row r="886" spans="3:9" ht="16.5" hidden="1" customHeight="1" x14ac:dyDescent="0.25">
      <c r="C886" s="226"/>
      <c r="D886" s="32" t="s">
        <v>832</v>
      </c>
      <c r="E886" s="172">
        <v>350000000</v>
      </c>
      <c r="F886" s="243">
        <v>198895000</v>
      </c>
      <c r="G886" s="117">
        <f t="shared" si="53"/>
        <v>56.827142857142853</v>
      </c>
      <c r="H886" s="117">
        <v>60</v>
      </c>
      <c r="I886" s="111"/>
    </row>
    <row r="887" spans="3:9" ht="16.5" hidden="1" customHeight="1" x14ac:dyDescent="0.25">
      <c r="C887" s="226"/>
      <c r="D887" s="48" t="s">
        <v>175</v>
      </c>
      <c r="E887" s="112">
        <v>450000000</v>
      </c>
      <c r="F887" s="242">
        <f>SUM(F888:F890)</f>
        <v>431825000</v>
      </c>
      <c r="G887" s="114">
        <f t="shared" si="53"/>
        <v>95.961111111111109</v>
      </c>
      <c r="H887" s="114">
        <f>(H888+H889+H890)/3</f>
        <v>96.666666666666671</v>
      </c>
      <c r="I887" s="111"/>
    </row>
    <row r="888" spans="3:9" ht="16.5" hidden="1" customHeight="1" x14ac:dyDescent="0.25">
      <c r="C888" s="226"/>
      <c r="D888" s="32" t="s">
        <v>833</v>
      </c>
      <c r="E888" s="172">
        <v>100000000</v>
      </c>
      <c r="F888" s="243">
        <v>100000000</v>
      </c>
      <c r="G888" s="117">
        <f t="shared" si="53"/>
        <v>100</v>
      </c>
      <c r="H888" s="117">
        <v>100</v>
      </c>
      <c r="I888" s="111"/>
    </row>
    <row r="889" spans="3:9" ht="16.5" hidden="1" customHeight="1" x14ac:dyDescent="0.25">
      <c r="C889" s="226"/>
      <c r="D889" s="32" t="s">
        <v>834</v>
      </c>
      <c r="E889" s="172">
        <v>100000000</v>
      </c>
      <c r="F889" s="243">
        <v>81825000</v>
      </c>
      <c r="G889" s="117">
        <f t="shared" si="53"/>
        <v>81.825000000000003</v>
      </c>
      <c r="H889" s="117">
        <v>90</v>
      </c>
      <c r="I889" s="111"/>
    </row>
    <row r="890" spans="3:9" ht="16.5" hidden="1" customHeight="1" x14ac:dyDescent="0.25">
      <c r="C890" s="234"/>
      <c r="D890" s="32" t="s">
        <v>835</v>
      </c>
      <c r="E890" s="172">
        <v>250000000</v>
      </c>
      <c r="F890" s="243">
        <v>250000000</v>
      </c>
      <c r="G890" s="117">
        <f t="shared" si="53"/>
        <v>100</v>
      </c>
      <c r="H890" s="117">
        <v>100</v>
      </c>
      <c r="I890" s="111"/>
    </row>
    <row r="891" spans="3:9" ht="16.5" hidden="1" customHeight="1" x14ac:dyDescent="0.25">
      <c r="C891" s="226"/>
      <c r="D891" s="48" t="s">
        <v>177</v>
      </c>
      <c r="E891" s="112">
        <v>1075000000</v>
      </c>
      <c r="F891" s="242">
        <f>SUM(F892:F894)</f>
        <v>916285000</v>
      </c>
      <c r="G891" s="114">
        <f t="shared" si="53"/>
        <v>85.235813953488375</v>
      </c>
      <c r="H891" s="114">
        <f>(H892+H893+H894)/3</f>
        <v>91.666666666666671</v>
      </c>
      <c r="I891" s="111"/>
    </row>
    <row r="892" spans="3:9" ht="16.5" hidden="1" customHeight="1" x14ac:dyDescent="0.25">
      <c r="C892" s="226"/>
      <c r="D892" s="32" t="s">
        <v>836</v>
      </c>
      <c r="E892" s="172">
        <v>500000000</v>
      </c>
      <c r="F892" s="243">
        <v>489850000</v>
      </c>
      <c r="G892" s="117">
        <f t="shared" si="53"/>
        <v>97.97</v>
      </c>
      <c r="H892" s="117">
        <v>100</v>
      </c>
      <c r="I892" s="111"/>
    </row>
    <row r="893" spans="3:9" ht="36.75" hidden="1" customHeight="1" x14ac:dyDescent="0.25">
      <c r="C893" s="226"/>
      <c r="D893" s="119" t="s">
        <v>837</v>
      </c>
      <c r="E893" s="172">
        <v>75000000</v>
      </c>
      <c r="F893" s="243">
        <v>72600000</v>
      </c>
      <c r="G893" s="117">
        <f t="shared" si="53"/>
        <v>96.8</v>
      </c>
      <c r="H893" s="117">
        <v>100</v>
      </c>
      <c r="I893" s="111"/>
    </row>
    <row r="894" spans="3:9" ht="16.5" hidden="1" customHeight="1" x14ac:dyDescent="0.25">
      <c r="C894" s="226"/>
      <c r="D894" s="32" t="s">
        <v>838</v>
      </c>
      <c r="E894" s="172">
        <v>500000000</v>
      </c>
      <c r="F894" s="243">
        <v>353835000</v>
      </c>
      <c r="G894" s="117">
        <f t="shared" si="53"/>
        <v>70.766999999999996</v>
      </c>
      <c r="H894" s="117">
        <v>75</v>
      </c>
      <c r="I894" s="111"/>
    </row>
    <row r="895" spans="3:9" ht="16.5" hidden="1" customHeight="1" x14ac:dyDescent="0.25">
      <c r="C895" s="389"/>
      <c r="D895" s="48" t="s">
        <v>182</v>
      </c>
      <c r="E895" s="112">
        <v>906015600</v>
      </c>
      <c r="F895" s="242">
        <f>SUM(F896:F899)</f>
        <v>654980000</v>
      </c>
      <c r="G895" s="114">
        <f t="shared" si="53"/>
        <v>72.292353464995529</v>
      </c>
      <c r="H895" s="114">
        <f>SUM(H896:H899)/4</f>
        <v>87.5</v>
      </c>
      <c r="I895" s="111"/>
    </row>
    <row r="896" spans="3:9" ht="16.5" hidden="1" customHeight="1" x14ac:dyDescent="0.25">
      <c r="C896" s="226"/>
      <c r="D896" s="32" t="s">
        <v>839</v>
      </c>
      <c r="E896" s="172">
        <v>200000000</v>
      </c>
      <c r="F896" s="243">
        <v>199875000</v>
      </c>
      <c r="G896" s="117">
        <f t="shared" si="53"/>
        <v>99.9375</v>
      </c>
      <c r="H896" s="117">
        <v>100</v>
      </c>
      <c r="I896" s="111"/>
    </row>
    <row r="897" spans="3:9" ht="16.5" hidden="1" customHeight="1" x14ac:dyDescent="0.25">
      <c r="C897" s="226"/>
      <c r="D897" s="32" t="s">
        <v>840</v>
      </c>
      <c r="E897" s="172">
        <v>75000000</v>
      </c>
      <c r="F897" s="243">
        <v>74800000</v>
      </c>
      <c r="G897" s="117">
        <f t="shared" si="53"/>
        <v>99.733333333333334</v>
      </c>
      <c r="H897" s="117">
        <v>100</v>
      </c>
      <c r="I897" s="111"/>
    </row>
    <row r="898" spans="3:9" ht="16.5" hidden="1" customHeight="1" x14ac:dyDescent="0.25">
      <c r="C898" s="226"/>
      <c r="D898" s="32" t="s">
        <v>841</v>
      </c>
      <c r="E898" s="172">
        <v>200000000</v>
      </c>
      <c r="F898" s="243">
        <v>199275000</v>
      </c>
      <c r="G898" s="117">
        <f t="shared" si="53"/>
        <v>99.637500000000003</v>
      </c>
      <c r="H898" s="117">
        <v>100</v>
      </c>
      <c r="I898" s="111"/>
    </row>
    <row r="899" spans="3:9" ht="16.5" hidden="1" customHeight="1" x14ac:dyDescent="0.25">
      <c r="C899" s="226"/>
      <c r="D899" s="32" t="s">
        <v>842</v>
      </c>
      <c r="E899" s="172">
        <v>431015600</v>
      </c>
      <c r="F899" s="243">
        <v>181030000</v>
      </c>
      <c r="G899" s="117">
        <f t="shared" si="53"/>
        <v>42.000799971045133</v>
      </c>
      <c r="H899" s="117">
        <v>50</v>
      </c>
      <c r="I899" s="111"/>
    </row>
    <row r="900" spans="3:9" ht="16.5" hidden="1" customHeight="1" x14ac:dyDescent="0.25">
      <c r="C900" s="222"/>
      <c r="D900" s="48" t="s">
        <v>843</v>
      </c>
      <c r="E900" s="112">
        <v>575000000</v>
      </c>
      <c r="F900" s="242">
        <f>SUM(F901:F903)</f>
        <v>535750000</v>
      </c>
      <c r="G900" s="114">
        <f t="shared" si="53"/>
        <v>93.173913043478265</v>
      </c>
      <c r="H900" s="114">
        <f>SUM(H901:H903)/3</f>
        <v>93.333333333333329</v>
      </c>
      <c r="I900" s="111"/>
    </row>
    <row r="901" spans="3:9" ht="16.5" hidden="1" customHeight="1" x14ac:dyDescent="0.25">
      <c r="C901" s="226"/>
      <c r="D901" s="32" t="s">
        <v>844</v>
      </c>
      <c r="E901" s="172">
        <v>100000000</v>
      </c>
      <c r="F901" s="243">
        <v>99950000</v>
      </c>
      <c r="G901" s="117">
        <f t="shared" si="53"/>
        <v>99.95</v>
      </c>
      <c r="H901" s="117">
        <v>100</v>
      </c>
      <c r="I901" s="111"/>
    </row>
    <row r="902" spans="3:9" ht="16.5" hidden="1" customHeight="1" x14ac:dyDescent="0.25">
      <c r="C902" s="226"/>
      <c r="D902" s="32" t="s">
        <v>845</v>
      </c>
      <c r="E902" s="172">
        <v>325000000</v>
      </c>
      <c r="F902" s="243">
        <v>320000000</v>
      </c>
      <c r="G902" s="117">
        <f t="shared" si="53"/>
        <v>98.461538461538467</v>
      </c>
      <c r="H902" s="117">
        <v>100</v>
      </c>
      <c r="I902" s="111"/>
    </row>
    <row r="903" spans="3:9" ht="16.5" hidden="1" customHeight="1" x14ac:dyDescent="0.25">
      <c r="C903" s="226"/>
      <c r="D903" s="32" t="s">
        <v>846</v>
      </c>
      <c r="E903" s="172">
        <v>150000000</v>
      </c>
      <c r="F903" s="243">
        <v>115800000</v>
      </c>
      <c r="G903" s="117">
        <f t="shared" si="53"/>
        <v>77.2</v>
      </c>
      <c r="H903" s="117">
        <v>80</v>
      </c>
      <c r="I903" s="111"/>
    </row>
    <row r="904" spans="3:9" ht="10.5" hidden="1" customHeight="1" x14ac:dyDescent="0.25">
      <c r="C904" s="226"/>
      <c r="D904" s="32"/>
      <c r="E904" s="172"/>
      <c r="F904" s="108"/>
      <c r="G904" s="117"/>
      <c r="H904" s="117"/>
      <c r="I904" s="111"/>
    </row>
    <row r="905" spans="3:9" ht="16.5" hidden="1" customHeight="1" x14ac:dyDescent="0.25">
      <c r="C905" s="222"/>
      <c r="D905" s="48" t="s">
        <v>847</v>
      </c>
      <c r="E905" s="112">
        <v>7700000000</v>
      </c>
      <c r="F905" s="242">
        <f>F906+F908+F910+F912</f>
        <v>7686271675</v>
      </c>
      <c r="G905" s="114">
        <f t="shared" ref="G905:G913" si="54">F905/E905*100</f>
        <v>99.821710064935061</v>
      </c>
      <c r="H905" s="114">
        <f>(H906+H908+H910+H912)/4</f>
        <v>100</v>
      </c>
      <c r="I905" s="111"/>
    </row>
    <row r="906" spans="3:9" ht="16.5" hidden="1" customHeight="1" x14ac:dyDescent="0.25">
      <c r="C906" s="226"/>
      <c r="D906" s="48" t="s">
        <v>166</v>
      </c>
      <c r="E906" s="112">
        <v>700000000</v>
      </c>
      <c r="F906" s="242">
        <f>F907</f>
        <v>698850000</v>
      </c>
      <c r="G906" s="114">
        <f t="shared" si="54"/>
        <v>99.835714285714289</v>
      </c>
      <c r="H906" s="114">
        <f>H907</f>
        <v>100</v>
      </c>
      <c r="I906" s="111"/>
    </row>
    <row r="907" spans="3:9" ht="16.5" hidden="1" customHeight="1" x14ac:dyDescent="0.25">
      <c r="C907" s="222"/>
      <c r="D907" s="32" t="s">
        <v>848</v>
      </c>
      <c r="E907" s="172">
        <v>700000000</v>
      </c>
      <c r="F907" s="243">
        <v>698850000</v>
      </c>
      <c r="G907" s="117">
        <f t="shared" si="54"/>
        <v>99.835714285714289</v>
      </c>
      <c r="H907" s="117">
        <v>100</v>
      </c>
      <c r="I907" s="111"/>
    </row>
    <row r="908" spans="3:9" ht="16.5" hidden="1" customHeight="1" x14ac:dyDescent="0.25">
      <c r="C908" s="226"/>
      <c r="D908" s="48" t="s">
        <v>156</v>
      </c>
      <c r="E908" s="112">
        <v>2500000000</v>
      </c>
      <c r="F908" s="242">
        <f>F909</f>
        <v>2498983508</v>
      </c>
      <c r="G908" s="114">
        <f t="shared" si="54"/>
        <v>99.959340319999995</v>
      </c>
      <c r="H908" s="114">
        <f>H909</f>
        <v>100</v>
      </c>
      <c r="I908" s="111"/>
    </row>
    <row r="909" spans="3:9" ht="36.75" hidden="1" customHeight="1" x14ac:dyDescent="0.25">
      <c r="C909" s="226"/>
      <c r="D909" s="119" t="s">
        <v>849</v>
      </c>
      <c r="E909" s="172">
        <v>2500000000</v>
      </c>
      <c r="F909" s="243">
        <v>2498983508</v>
      </c>
      <c r="G909" s="117">
        <f t="shared" si="54"/>
        <v>99.959340319999995</v>
      </c>
      <c r="H909" s="117">
        <v>100</v>
      </c>
      <c r="I909" s="111"/>
    </row>
    <row r="910" spans="3:9" ht="16.5" hidden="1" customHeight="1" x14ac:dyDescent="0.25">
      <c r="C910" s="389"/>
      <c r="D910" s="48" t="s">
        <v>850</v>
      </c>
      <c r="E910" s="112">
        <v>500000000</v>
      </c>
      <c r="F910" s="242">
        <f>F911</f>
        <v>499567657</v>
      </c>
      <c r="G910" s="114">
        <f t="shared" si="54"/>
        <v>99.913531399999997</v>
      </c>
      <c r="H910" s="114">
        <f>H911</f>
        <v>100</v>
      </c>
      <c r="I910" s="111"/>
    </row>
    <row r="911" spans="3:9" ht="16.5" hidden="1" customHeight="1" x14ac:dyDescent="0.25">
      <c r="C911" s="222"/>
      <c r="D911" s="32" t="s">
        <v>851</v>
      </c>
      <c r="E911" s="172">
        <v>500000000</v>
      </c>
      <c r="F911" s="243">
        <v>499567657</v>
      </c>
      <c r="G911" s="117">
        <f t="shared" si="54"/>
        <v>99.913531399999997</v>
      </c>
      <c r="H911" s="117">
        <v>100</v>
      </c>
      <c r="I911" s="111"/>
    </row>
    <row r="912" spans="3:9" ht="16.5" hidden="1" customHeight="1" x14ac:dyDescent="0.25">
      <c r="C912" s="226"/>
      <c r="D912" s="48" t="s">
        <v>177</v>
      </c>
      <c r="E912" s="112">
        <v>4000000000</v>
      </c>
      <c r="F912" s="242">
        <f>F913</f>
        <v>3988870510</v>
      </c>
      <c r="G912" s="114">
        <f t="shared" si="54"/>
        <v>99.721762749999996</v>
      </c>
      <c r="H912" s="114">
        <f>H913</f>
        <v>100</v>
      </c>
      <c r="I912" s="111"/>
    </row>
    <row r="913" spans="3:9" ht="16.5" hidden="1" customHeight="1" x14ac:dyDescent="0.25">
      <c r="C913" s="222"/>
      <c r="D913" s="32" t="s">
        <v>852</v>
      </c>
      <c r="E913" s="172">
        <v>4000000000</v>
      </c>
      <c r="F913" s="243">
        <v>3988870510</v>
      </c>
      <c r="G913" s="117">
        <f t="shared" si="54"/>
        <v>99.721762749999996</v>
      </c>
      <c r="H913" s="117">
        <v>100</v>
      </c>
      <c r="I913" s="111"/>
    </row>
    <row r="914" spans="3:9" ht="10.5" hidden="1" customHeight="1" x14ac:dyDescent="0.25">
      <c r="C914" s="222"/>
      <c r="D914" s="32"/>
      <c r="E914" s="172"/>
      <c r="F914" s="108"/>
      <c r="G914" s="117"/>
      <c r="H914" s="117"/>
      <c r="I914" s="111"/>
    </row>
    <row r="915" spans="3:9" ht="16.5" hidden="1" customHeight="1" x14ac:dyDescent="0.25">
      <c r="C915" s="226"/>
      <c r="D915" s="48" t="s">
        <v>853</v>
      </c>
      <c r="E915" s="112">
        <v>9208020800</v>
      </c>
      <c r="F915" s="242">
        <f>F916</f>
        <v>8981037000</v>
      </c>
      <c r="G915" s="117">
        <f t="shared" ref="G915:G921" si="55">F915/E915*100</f>
        <v>97.534933891548121</v>
      </c>
      <c r="H915" s="117">
        <f>H916</f>
        <v>100</v>
      </c>
      <c r="I915" s="111"/>
    </row>
    <row r="916" spans="3:9" ht="16.5" hidden="1" customHeight="1" x14ac:dyDescent="0.25">
      <c r="C916" s="226"/>
      <c r="D916" s="48" t="s">
        <v>854</v>
      </c>
      <c r="E916" s="112">
        <v>9208020800</v>
      </c>
      <c r="F916" s="242">
        <f>F917+F920</f>
        <v>8981037000</v>
      </c>
      <c r="G916" s="114">
        <f t="shared" si="55"/>
        <v>97.534933891548121</v>
      </c>
      <c r="H916" s="114">
        <f>(H917+H920)/2</f>
        <v>100</v>
      </c>
      <c r="I916" s="111"/>
    </row>
    <row r="917" spans="3:9" ht="16.5" hidden="1" customHeight="1" x14ac:dyDescent="0.25">
      <c r="C917" s="226"/>
      <c r="D917" s="48" t="s">
        <v>855</v>
      </c>
      <c r="E917" s="112">
        <v>5100000000</v>
      </c>
      <c r="F917" s="242">
        <f>F918+F919</f>
        <v>5064820000</v>
      </c>
      <c r="G917" s="114">
        <f t="shared" si="55"/>
        <v>99.310196078431375</v>
      </c>
      <c r="H917" s="114">
        <f>(H918+H919)/2</f>
        <v>100</v>
      </c>
      <c r="I917" s="111"/>
    </row>
    <row r="918" spans="3:9" ht="36.75" hidden="1" customHeight="1" x14ac:dyDescent="0.25">
      <c r="C918" s="389"/>
      <c r="D918" s="119" t="s">
        <v>856</v>
      </c>
      <c r="E918" s="172">
        <v>2600000000</v>
      </c>
      <c r="F918" s="243">
        <v>2594668000</v>
      </c>
      <c r="G918" s="117">
        <f t="shared" si="55"/>
        <v>99.794923076923084</v>
      </c>
      <c r="H918" s="117">
        <v>100</v>
      </c>
      <c r="I918" s="111"/>
    </row>
    <row r="919" spans="3:9" ht="16.5" hidden="1" customHeight="1" x14ac:dyDescent="0.25">
      <c r="C919" s="226"/>
      <c r="D919" s="32" t="s">
        <v>857</v>
      </c>
      <c r="E919" s="172">
        <v>2500000000</v>
      </c>
      <c r="F919" s="243">
        <v>2470152000</v>
      </c>
      <c r="G919" s="117">
        <f t="shared" si="55"/>
        <v>98.806079999999994</v>
      </c>
      <c r="H919" s="117">
        <v>100</v>
      </c>
      <c r="I919" s="111"/>
    </row>
    <row r="920" spans="3:9" ht="16.5" hidden="1" customHeight="1" x14ac:dyDescent="0.25">
      <c r="C920" s="226"/>
      <c r="D920" s="48" t="s">
        <v>858</v>
      </c>
      <c r="E920" s="112">
        <v>4108020800</v>
      </c>
      <c r="F920" s="242">
        <f>F921</f>
        <v>3916217000</v>
      </c>
      <c r="G920" s="114">
        <f t="shared" si="55"/>
        <v>95.330992481829696</v>
      </c>
      <c r="H920" s="114">
        <f>H921</f>
        <v>100</v>
      </c>
      <c r="I920" s="111"/>
    </row>
    <row r="921" spans="3:9" ht="16.5" hidden="1" customHeight="1" x14ac:dyDescent="0.25">
      <c r="C921" s="226"/>
      <c r="D921" s="32" t="s">
        <v>859</v>
      </c>
      <c r="E921" s="172">
        <v>4108020800</v>
      </c>
      <c r="F921" s="243">
        <v>3916217000</v>
      </c>
      <c r="G921" s="117">
        <f t="shared" si="55"/>
        <v>95.330992481829696</v>
      </c>
      <c r="H921" s="117">
        <v>100</v>
      </c>
      <c r="I921" s="111"/>
    </row>
    <row r="922" spans="3:9" ht="6.75" hidden="1" customHeight="1" x14ac:dyDescent="0.25">
      <c r="C922" s="226"/>
      <c r="D922" s="32"/>
      <c r="E922" s="172"/>
      <c r="F922" s="108"/>
      <c r="G922" s="117"/>
      <c r="H922" s="117"/>
      <c r="I922" s="111"/>
    </row>
    <row r="923" spans="3:9" ht="16.5" hidden="1" customHeight="1" x14ac:dyDescent="0.25">
      <c r="C923" s="226"/>
      <c r="D923" s="48" t="s">
        <v>860</v>
      </c>
      <c r="E923" s="112">
        <v>11700000000</v>
      </c>
      <c r="F923" s="242">
        <f>F924</f>
        <v>11655539000</v>
      </c>
      <c r="G923" s="114">
        <f>F923/E923*100</f>
        <v>99.619991452991457</v>
      </c>
      <c r="H923" s="114">
        <f>H924</f>
        <v>100</v>
      </c>
      <c r="I923" s="111"/>
    </row>
    <row r="924" spans="3:9" s="115" customFormat="1" ht="16.5" hidden="1" customHeight="1" x14ac:dyDescent="0.25">
      <c r="C924" s="390"/>
      <c r="D924" s="48" t="s">
        <v>861</v>
      </c>
      <c r="E924" s="112">
        <v>11700000000</v>
      </c>
      <c r="F924" s="242">
        <f>F925</f>
        <v>11655539000</v>
      </c>
      <c r="G924" s="114">
        <f>F924/E924*100</f>
        <v>99.619991452991457</v>
      </c>
      <c r="H924" s="114">
        <f>H925</f>
        <v>100</v>
      </c>
      <c r="I924" s="121"/>
    </row>
    <row r="925" spans="3:9" ht="16.5" hidden="1" customHeight="1" x14ac:dyDescent="0.25">
      <c r="C925" s="226"/>
      <c r="D925" s="48" t="s">
        <v>729</v>
      </c>
      <c r="E925" s="112">
        <v>11700000000</v>
      </c>
      <c r="F925" s="242">
        <f>F926</f>
        <v>11655539000</v>
      </c>
      <c r="G925" s="114">
        <f>F925/E925*100</f>
        <v>99.619991452991457</v>
      </c>
      <c r="H925" s="114">
        <f>H926</f>
        <v>100</v>
      </c>
      <c r="I925" s="111"/>
    </row>
    <row r="926" spans="3:9" ht="16.5" hidden="1" customHeight="1" x14ac:dyDescent="0.25">
      <c r="C926" s="226"/>
      <c r="D926" s="32" t="s">
        <v>862</v>
      </c>
      <c r="E926" s="172">
        <v>11700000000</v>
      </c>
      <c r="F926" s="243">
        <v>11655539000</v>
      </c>
      <c r="G926" s="117">
        <f>F926/E926*100</f>
        <v>99.619991452991457</v>
      </c>
      <c r="H926" s="117">
        <v>100</v>
      </c>
      <c r="I926" s="111"/>
    </row>
    <row r="927" spans="3:9" ht="10.5" hidden="1" customHeight="1" x14ac:dyDescent="0.25">
      <c r="C927" s="226"/>
      <c r="D927" s="32"/>
      <c r="E927" s="172"/>
      <c r="F927" s="108"/>
      <c r="G927" s="117"/>
      <c r="H927" s="117"/>
      <c r="I927" s="111"/>
    </row>
    <row r="928" spans="3:9" ht="16.5" hidden="1" customHeight="1" x14ac:dyDescent="0.25">
      <c r="C928" s="226"/>
      <c r="D928" s="48" t="s">
        <v>863</v>
      </c>
      <c r="E928" s="112">
        <v>240802080</v>
      </c>
      <c r="F928" s="242">
        <f>F929</f>
        <v>240780900</v>
      </c>
      <c r="G928" s="114">
        <f>F928/E928*100</f>
        <v>99.991204394912202</v>
      </c>
      <c r="H928" s="114">
        <f>H929</f>
        <v>100</v>
      </c>
      <c r="I928" s="111"/>
    </row>
    <row r="929" spans="3:9" ht="16.5" hidden="1" customHeight="1" x14ac:dyDescent="0.25">
      <c r="C929" s="226"/>
      <c r="D929" s="48" t="s">
        <v>864</v>
      </c>
      <c r="E929" s="112">
        <v>240802080</v>
      </c>
      <c r="F929" s="242">
        <f>F930</f>
        <v>240780900</v>
      </c>
      <c r="G929" s="114">
        <f>F929/E929*100</f>
        <v>99.991204394912202</v>
      </c>
      <c r="H929" s="114">
        <f>H930</f>
        <v>100</v>
      </c>
      <c r="I929" s="111"/>
    </row>
    <row r="930" spans="3:9" ht="36.75" hidden="1" customHeight="1" x14ac:dyDescent="0.25">
      <c r="C930" s="226"/>
      <c r="D930" s="217" t="s">
        <v>865</v>
      </c>
      <c r="E930" s="112">
        <v>240802080</v>
      </c>
      <c r="F930" s="242">
        <f>SUM(F931:F932)</f>
        <v>240780900</v>
      </c>
      <c r="G930" s="114">
        <f>F930/E930*100</f>
        <v>99.991204394912202</v>
      </c>
      <c r="H930" s="114">
        <f>(H931+H932)/2</f>
        <v>100</v>
      </c>
      <c r="I930" s="111"/>
    </row>
    <row r="931" spans="3:9" ht="16.5" hidden="1" customHeight="1" x14ac:dyDescent="0.25">
      <c r="C931" s="226"/>
      <c r="D931" s="32" t="s">
        <v>866</v>
      </c>
      <c r="E931" s="172">
        <v>100000000</v>
      </c>
      <c r="F931" s="243">
        <v>100000000</v>
      </c>
      <c r="G931" s="117">
        <f>F931/E931*100</f>
        <v>100</v>
      </c>
      <c r="H931" s="117">
        <v>100</v>
      </c>
      <c r="I931" s="111"/>
    </row>
    <row r="932" spans="3:9" ht="16.5" hidden="1" customHeight="1" x14ac:dyDescent="0.25">
      <c r="C932" s="226"/>
      <c r="D932" s="32" t="s">
        <v>261</v>
      </c>
      <c r="E932" s="172">
        <v>140802080</v>
      </c>
      <c r="F932" s="243">
        <v>140780900</v>
      </c>
      <c r="G932" s="117">
        <f>F932/E932*100</f>
        <v>99.984957608580785</v>
      </c>
      <c r="H932" s="117">
        <v>100</v>
      </c>
      <c r="I932" s="111"/>
    </row>
    <row r="933" spans="3:9" ht="10.5" hidden="1" customHeight="1" x14ac:dyDescent="0.25">
      <c r="C933" s="226"/>
      <c r="D933" s="32"/>
      <c r="E933" s="172"/>
      <c r="F933" s="108"/>
      <c r="G933" s="117"/>
      <c r="H933" s="117"/>
      <c r="I933" s="111"/>
    </row>
    <row r="934" spans="3:9" ht="16.5" hidden="1" customHeight="1" x14ac:dyDescent="0.25">
      <c r="C934" s="226"/>
      <c r="D934" s="48" t="s">
        <v>867</v>
      </c>
      <c r="E934" s="112">
        <v>14700000000</v>
      </c>
      <c r="F934" s="108"/>
      <c r="G934" s="117">
        <f>F934/E934*100</f>
        <v>0</v>
      </c>
      <c r="H934" s="117"/>
      <c r="I934" s="111"/>
    </row>
    <row r="935" spans="3:9" ht="16.5" hidden="1" customHeight="1" x14ac:dyDescent="0.25">
      <c r="C935" s="226"/>
      <c r="D935" s="48" t="s">
        <v>868</v>
      </c>
      <c r="E935" s="112">
        <v>1500000000</v>
      </c>
      <c r="F935" s="108"/>
      <c r="G935" s="117">
        <f>F935/E935*100</f>
        <v>0</v>
      </c>
      <c r="H935" s="117"/>
      <c r="I935" s="111"/>
    </row>
    <row r="936" spans="3:9" s="115" customFormat="1" ht="16.5" hidden="1" customHeight="1" x14ac:dyDescent="0.25">
      <c r="C936" s="222"/>
      <c r="D936" s="48" t="s">
        <v>869</v>
      </c>
      <c r="E936" s="112">
        <v>1500000000</v>
      </c>
      <c r="F936" s="113"/>
      <c r="G936" s="114">
        <f>F936/E936*100</f>
        <v>0</v>
      </c>
      <c r="H936" s="114"/>
      <c r="I936" s="121"/>
    </row>
    <row r="937" spans="3:9" ht="16.5" hidden="1" customHeight="1" x14ac:dyDescent="0.25">
      <c r="C937" s="226"/>
      <c r="D937" s="48" t="s">
        <v>870</v>
      </c>
      <c r="E937" s="112">
        <v>1500000000</v>
      </c>
      <c r="F937" s="108"/>
      <c r="G937" s="117">
        <f>F937/E937*100</f>
        <v>0</v>
      </c>
      <c r="H937" s="117"/>
      <c r="I937" s="111"/>
    </row>
    <row r="938" spans="3:9" ht="16.5" hidden="1" customHeight="1" x14ac:dyDescent="0.25">
      <c r="C938" s="226"/>
      <c r="D938" s="32" t="s">
        <v>871</v>
      </c>
      <c r="E938" s="172">
        <v>1500000000</v>
      </c>
      <c r="F938" s="108"/>
      <c r="G938" s="117">
        <f>F938/E938*100</f>
        <v>0</v>
      </c>
      <c r="H938" s="117"/>
      <c r="I938" s="111"/>
    </row>
    <row r="939" spans="3:9" ht="10.5" hidden="1" customHeight="1" x14ac:dyDescent="0.25">
      <c r="C939" s="226"/>
      <c r="D939" s="32"/>
      <c r="E939" s="172"/>
      <c r="F939" s="108"/>
      <c r="G939" s="117"/>
      <c r="H939" s="117"/>
      <c r="I939" s="111"/>
    </row>
    <row r="940" spans="3:9" ht="16.5" hidden="1" customHeight="1" x14ac:dyDescent="0.25">
      <c r="C940" s="226"/>
      <c r="D940" s="48" t="s">
        <v>872</v>
      </c>
      <c r="E940" s="112">
        <v>250000000</v>
      </c>
      <c r="F940" s="242">
        <f>F941</f>
        <v>247904900</v>
      </c>
      <c r="G940" s="114">
        <f>F940/E940*100</f>
        <v>99.161960000000008</v>
      </c>
      <c r="H940" s="114">
        <f>H941</f>
        <v>100</v>
      </c>
      <c r="I940" s="111"/>
    </row>
    <row r="941" spans="3:9" s="115" customFormat="1" ht="16.5" hidden="1" customHeight="1" x14ac:dyDescent="0.25">
      <c r="C941" s="222"/>
      <c r="D941" s="48" t="s">
        <v>873</v>
      </c>
      <c r="E941" s="112">
        <v>250000000</v>
      </c>
      <c r="F941" s="242">
        <f>F942</f>
        <v>247904900</v>
      </c>
      <c r="G941" s="114">
        <f>F941/E941*100</f>
        <v>99.161960000000008</v>
      </c>
      <c r="H941" s="114">
        <f>H942</f>
        <v>100</v>
      </c>
      <c r="I941" s="121"/>
    </row>
    <row r="942" spans="3:9" ht="16.5" hidden="1" customHeight="1" x14ac:dyDescent="0.25">
      <c r="C942" s="226"/>
      <c r="D942" s="48" t="s">
        <v>874</v>
      </c>
      <c r="E942" s="112">
        <v>250000000</v>
      </c>
      <c r="F942" s="242">
        <f>F943</f>
        <v>247904900</v>
      </c>
      <c r="G942" s="114">
        <f>F942/E942*100</f>
        <v>99.161960000000008</v>
      </c>
      <c r="H942" s="114">
        <f>H943</f>
        <v>100</v>
      </c>
      <c r="I942" s="111"/>
    </row>
    <row r="943" spans="3:9" ht="16.5" hidden="1" customHeight="1" x14ac:dyDescent="0.25">
      <c r="C943" s="226"/>
      <c r="D943" s="32" t="s">
        <v>875</v>
      </c>
      <c r="E943" s="172">
        <v>250000000</v>
      </c>
      <c r="F943" s="243">
        <v>247904900</v>
      </c>
      <c r="G943" s="117">
        <f>F943/E943*100</f>
        <v>99.161960000000008</v>
      </c>
      <c r="H943" s="117">
        <v>100</v>
      </c>
      <c r="I943" s="111"/>
    </row>
    <row r="944" spans="3:9" ht="16.5" hidden="1" customHeight="1" x14ac:dyDescent="0.25">
      <c r="C944" s="226"/>
      <c r="D944" s="32"/>
      <c r="E944" s="172"/>
      <c r="F944" s="108"/>
      <c r="G944" s="117"/>
      <c r="H944" s="117"/>
      <c r="I944" s="111"/>
    </row>
    <row r="945" spans="3:9" ht="16.5" hidden="1" customHeight="1" x14ac:dyDescent="0.25">
      <c r="C945" s="226"/>
      <c r="D945" s="48" t="s">
        <v>876</v>
      </c>
      <c r="E945" s="112">
        <v>1200000000</v>
      </c>
      <c r="F945" s="242">
        <f>F946</f>
        <v>1169120000</v>
      </c>
      <c r="G945" s="114">
        <f t="shared" ref="G945:G963" si="56">F945/E945*100</f>
        <v>97.426666666666662</v>
      </c>
      <c r="H945" s="114">
        <f>H946</f>
        <v>97.333333333333343</v>
      </c>
      <c r="I945" s="111"/>
    </row>
    <row r="946" spans="3:9" s="115" customFormat="1" ht="16.5" hidden="1" customHeight="1" x14ac:dyDescent="0.25">
      <c r="C946" s="222"/>
      <c r="D946" s="48" t="s">
        <v>298</v>
      </c>
      <c r="E946" s="112">
        <v>1200000000</v>
      </c>
      <c r="F946" s="242">
        <f>F947+F950+F954+F957+F960+F962</f>
        <v>1169120000</v>
      </c>
      <c r="G946" s="114">
        <f t="shared" si="56"/>
        <v>97.426666666666662</v>
      </c>
      <c r="H946" s="114">
        <f>(H947+H950+H954+H957+H960)/5</f>
        <v>97.333333333333343</v>
      </c>
      <c r="I946" s="121"/>
    </row>
    <row r="947" spans="3:9" ht="16.5" hidden="1" customHeight="1" x14ac:dyDescent="0.25">
      <c r="C947" s="226"/>
      <c r="D947" s="48" t="s">
        <v>299</v>
      </c>
      <c r="E947" s="112">
        <v>250000000</v>
      </c>
      <c r="F947" s="242">
        <f>F948+F949</f>
        <v>250000000</v>
      </c>
      <c r="G947" s="114">
        <f t="shared" si="56"/>
        <v>100</v>
      </c>
      <c r="H947" s="114">
        <f>(H948+H949)/2</f>
        <v>100</v>
      </c>
      <c r="I947" s="111"/>
    </row>
    <row r="948" spans="3:9" ht="36.75" hidden="1" customHeight="1" x14ac:dyDescent="0.25">
      <c r="C948" s="226"/>
      <c r="D948" s="119" t="s">
        <v>877</v>
      </c>
      <c r="E948" s="172">
        <v>150000000</v>
      </c>
      <c r="F948" s="243">
        <v>150000000</v>
      </c>
      <c r="G948" s="117">
        <f t="shared" si="56"/>
        <v>100</v>
      </c>
      <c r="H948" s="117">
        <v>100</v>
      </c>
      <c r="I948" s="111"/>
    </row>
    <row r="949" spans="3:9" ht="36.75" hidden="1" customHeight="1" x14ac:dyDescent="0.25">
      <c r="C949" s="226"/>
      <c r="D949" s="119" t="s">
        <v>878</v>
      </c>
      <c r="E949" s="172">
        <v>100000000</v>
      </c>
      <c r="F949" s="243">
        <v>100000000</v>
      </c>
      <c r="G949" s="117">
        <f t="shared" si="56"/>
        <v>100</v>
      </c>
      <c r="H949" s="117">
        <v>100</v>
      </c>
      <c r="I949" s="111"/>
    </row>
    <row r="950" spans="3:9" ht="16.5" hidden="1" customHeight="1" x14ac:dyDescent="0.25">
      <c r="C950" s="226"/>
      <c r="D950" s="48" t="s">
        <v>343</v>
      </c>
      <c r="E950" s="112">
        <v>250000000</v>
      </c>
      <c r="F950" s="242">
        <f>SUM(F951:F953)</f>
        <v>237120000</v>
      </c>
      <c r="G950" s="114">
        <f t="shared" si="56"/>
        <v>94.847999999999999</v>
      </c>
      <c r="H950" s="114">
        <f>SUM(H951:H953)/3</f>
        <v>96.666666666666671</v>
      </c>
      <c r="I950" s="111"/>
    </row>
    <row r="951" spans="3:9" ht="16.5" hidden="1" customHeight="1" x14ac:dyDescent="0.25">
      <c r="C951" s="226"/>
      <c r="D951" s="32" t="s">
        <v>879</v>
      </c>
      <c r="E951" s="172">
        <v>100000000</v>
      </c>
      <c r="F951" s="243">
        <v>94150000</v>
      </c>
      <c r="G951" s="117">
        <f t="shared" si="56"/>
        <v>94.15</v>
      </c>
      <c r="H951" s="117">
        <v>95</v>
      </c>
      <c r="I951" s="111"/>
    </row>
    <row r="952" spans="3:9" ht="16.5" hidden="1" customHeight="1" x14ac:dyDescent="0.25">
      <c r="C952" s="226"/>
      <c r="D952" s="32" t="s">
        <v>880</v>
      </c>
      <c r="E952" s="172">
        <v>100000000</v>
      </c>
      <c r="F952" s="243">
        <v>92970000</v>
      </c>
      <c r="G952" s="117">
        <f t="shared" si="56"/>
        <v>92.97</v>
      </c>
      <c r="H952" s="117">
        <v>95</v>
      </c>
      <c r="I952" s="111"/>
    </row>
    <row r="953" spans="3:9" ht="36.75" hidden="1" customHeight="1" x14ac:dyDescent="0.25">
      <c r="C953" s="226"/>
      <c r="D953" s="119" t="s">
        <v>881</v>
      </c>
      <c r="E953" s="172">
        <v>50000000</v>
      </c>
      <c r="F953" s="243">
        <v>50000000</v>
      </c>
      <c r="G953" s="117">
        <f t="shared" si="56"/>
        <v>100</v>
      </c>
      <c r="H953" s="117">
        <v>100</v>
      </c>
      <c r="I953" s="111"/>
    </row>
    <row r="954" spans="3:9" ht="16.5" hidden="1" customHeight="1" x14ac:dyDescent="0.25">
      <c r="C954" s="226"/>
      <c r="D954" s="48" t="s">
        <v>882</v>
      </c>
      <c r="E954" s="112">
        <v>150000000</v>
      </c>
      <c r="F954" s="242">
        <f>SUM(F955:F956)</f>
        <v>150000000</v>
      </c>
      <c r="G954" s="114">
        <f t="shared" si="56"/>
        <v>100</v>
      </c>
      <c r="H954" s="114">
        <f>SUM(H955:H956)/2</f>
        <v>100</v>
      </c>
      <c r="I954" s="111"/>
    </row>
    <row r="955" spans="3:9" ht="36.75" hidden="1" customHeight="1" x14ac:dyDescent="0.25">
      <c r="C955" s="226"/>
      <c r="D955" s="119" t="s">
        <v>883</v>
      </c>
      <c r="E955" s="172">
        <v>75000000</v>
      </c>
      <c r="F955" s="243">
        <v>75000000</v>
      </c>
      <c r="G955" s="117">
        <f t="shared" si="56"/>
        <v>100</v>
      </c>
      <c r="H955" s="117">
        <v>100</v>
      </c>
      <c r="I955" s="111"/>
    </row>
    <row r="956" spans="3:9" ht="36.75" hidden="1" customHeight="1" x14ac:dyDescent="0.25">
      <c r="C956" s="226"/>
      <c r="D956" s="119" t="s">
        <v>884</v>
      </c>
      <c r="E956" s="172">
        <v>75000000</v>
      </c>
      <c r="F956" s="243">
        <v>75000000</v>
      </c>
      <c r="G956" s="117">
        <f t="shared" si="56"/>
        <v>100</v>
      </c>
      <c r="H956" s="117">
        <v>100</v>
      </c>
      <c r="I956" s="111"/>
    </row>
    <row r="957" spans="3:9" ht="16.5" hidden="1" customHeight="1" x14ac:dyDescent="0.25">
      <c r="C957" s="226"/>
      <c r="D957" s="48" t="s">
        <v>744</v>
      </c>
      <c r="E957" s="112">
        <v>350000000</v>
      </c>
      <c r="F957" s="242">
        <f>SUM(F958:F959)</f>
        <v>350000000</v>
      </c>
      <c r="G957" s="114">
        <f t="shared" si="56"/>
        <v>100</v>
      </c>
      <c r="H957" s="114">
        <f>SUM(H958:H959)/2</f>
        <v>100</v>
      </c>
      <c r="I957" s="111"/>
    </row>
    <row r="958" spans="3:9" ht="16.5" hidden="1" customHeight="1" x14ac:dyDescent="0.25">
      <c r="C958" s="226"/>
      <c r="D958" s="32" t="s">
        <v>885</v>
      </c>
      <c r="E958" s="172">
        <v>150000000</v>
      </c>
      <c r="F958" s="243">
        <v>150000000</v>
      </c>
      <c r="G958" s="117">
        <f t="shared" si="56"/>
        <v>100</v>
      </c>
      <c r="H958" s="117">
        <v>100</v>
      </c>
      <c r="I958" s="111"/>
    </row>
    <row r="959" spans="3:9" ht="16.5" hidden="1" customHeight="1" x14ac:dyDescent="0.25">
      <c r="C959" s="389"/>
      <c r="D959" s="32" t="s">
        <v>886</v>
      </c>
      <c r="E959" s="172">
        <v>200000000</v>
      </c>
      <c r="F959" s="243">
        <v>200000000</v>
      </c>
      <c r="G959" s="117">
        <f t="shared" si="56"/>
        <v>100</v>
      </c>
      <c r="H959" s="117">
        <v>100</v>
      </c>
      <c r="I959" s="111"/>
    </row>
    <row r="960" spans="3:9" ht="16.5" hidden="1" customHeight="1" x14ac:dyDescent="0.25">
      <c r="C960" s="389"/>
      <c r="D960" s="48" t="s">
        <v>182</v>
      </c>
      <c r="E960" s="112">
        <v>100000000</v>
      </c>
      <c r="F960" s="242">
        <f>F961</f>
        <v>100000000</v>
      </c>
      <c r="G960" s="114">
        <f t="shared" si="56"/>
        <v>100</v>
      </c>
      <c r="H960" s="114">
        <f>H961</f>
        <v>90</v>
      </c>
      <c r="I960" s="111"/>
    </row>
    <row r="961" spans="3:9" ht="16.5" hidden="1" customHeight="1" x14ac:dyDescent="0.25">
      <c r="C961" s="389"/>
      <c r="D961" s="32" t="s">
        <v>887</v>
      </c>
      <c r="E961" s="172">
        <v>100000000</v>
      </c>
      <c r="F961" s="243">
        <v>100000000</v>
      </c>
      <c r="G961" s="117">
        <f t="shared" si="56"/>
        <v>100</v>
      </c>
      <c r="H961" s="117">
        <v>90</v>
      </c>
      <c r="I961" s="111"/>
    </row>
    <row r="962" spans="3:9" ht="16.5" hidden="1" customHeight="1" x14ac:dyDescent="0.25">
      <c r="C962" s="389"/>
      <c r="D962" s="48" t="s">
        <v>843</v>
      </c>
      <c r="E962" s="112">
        <v>100000000</v>
      </c>
      <c r="F962" s="242">
        <f>F963</f>
        <v>82000000</v>
      </c>
      <c r="G962" s="114">
        <f t="shared" si="56"/>
        <v>82</v>
      </c>
      <c r="H962" s="114">
        <f>H963</f>
        <v>85</v>
      </c>
      <c r="I962" s="111"/>
    </row>
    <row r="963" spans="3:9" ht="16.5" hidden="1" customHeight="1" x14ac:dyDescent="0.25">
      <c r="C963" s="226"/>
      <c r="D963" s="32" t="s">
        <v>888</v>
      </c>
      <c r="E963" s="172">
        <v>100000000</v>
      </c>
      <c r="F963" s="243">
        <v>82000000</v>
      </c>
      <c r="G963" s="117">
        <f t="shared" si="56"/>
        <v>82</v>
      </c>
      <c r="H963" s="117">
        <v>85</v>
      </c>
      <c r="I963" s="111"/>
    </row>
    <row r="964" spans="3:9" ht="10.5" hidden="1" customHeight="1" x14ac:dyDescent="0.25">
      <c r="C964" s="226"/>
      <c r="D964" s="32"/>
      <c r="E964" s="172"/>
      <c r="F964" s="108"/>
      <c r="G964" s="117"/>
      <c r="H964" s="117"/>
      <c r="I964" s="111"/>
    </row>
    <row r="965" spans="3:9" s="115" customFormat="1" ht="16.5" hidden="1" customHeight="1" x14ac:dyDescent="0.25">
      <c r="C965" s="222"/>
      <c r="D965" s="48" t="s">
        <v>889</v>
      </c>
      <c r="E965" s="112">
        <v>2800000000</v>
      </c>
      <c r="F965" s="242">
        <f>F966+F968+F970+F972+F975</f>
        <v>2525452200</v>
      </c>
      <c r="G965" s="114">
        <f t="shared" ref="G965:G976" si="57">F965/E965*100</f>
        <v>90.194721428571427</v>
      </c>
      <c r="H965" s="114">
        <f>(H966+H968+H970+H972+H975)/5</f>
        <v>87</v>
      </c>
      <c r="I965" s="121"/>
    </row>
    <row r="966" spans="3:9" ht="16.5" hidden="1" customHeight="1" x14ac:dyDescent="0.25">
      <c r="C966" s="226"/>
      <c r="D966" s="48" t="s">
        <v>890</v>
      </c>
      <c r="E966" s="112">
        <v>200000000</v>
      </c>
      <c r="F966" s="242">
        <f>F967</f>
        <v>107770600</v>
      </c>
      <c r="G966" s="114">
        <f t="shared" si="57"/>
        <v>53.885300000000001</v>
      </c>
      <c r="H966" s="114">
        <f>H967</f>
        <v>55</v>
      </c>
      <c r="I966" s="111"/>
    </row>
    <row r="967" spans="3:9" ht="16.5" hidden="1" customHeight="1" x14ac:dyDescent="0.25">
      <c r="C967" s="226"/>
      <c r="D967" s="32" t="s">
        <v>891</v>
      </c>
      <c r="E967" s="172">
        <v>200000000</v>
      </c>
      <c r="F967" s="243">
        <v>107770600</v>
      </c>
      <c r="G967" s="117">
        <f t="shared" si="57"/>
        <v>53.885300000000001</v>
      </c>
      <c r="H967" s="117">
        <v>55</v>
      </c>
      <c r="I967" s="111"/>
    </row>
    <row r="968" spans="3:9" ht="16.5" hidden="1" customHeight="1" x14ac:dyDescent="0.25">
      <c r="C968" s="226"/>
      <c r="D968" s="48" t="s">
        <v>892</v>
      </c>
      <c r="E968" s="112">
        <v>650000000</v>
      </c>
      <c r="F968" s="242">
        <f>F969</f>
        <v>601351800</v>
      </c>
      <c r="G968" s="114">
        <f t="shared" si="57"/>
        <v>92.515661538461529</v>
      </c>
      <c r="H968" s="114">
        <v>100</v>
      </c>
      <c r="I968" s="111"/>
    </row>
    <row r="969" spans="3:9" ht="16.5" hidden="1" customHeight="1" x14ac:dyDescent="0.25">
      <c r="C969" s="389"/>
      <c r="D969" s="32" t="s">
        <v>893</v>
      </c>
      <c r="E969" s="172">
        <v>650000000</v>
      </c>
      <c r="F969" s="243">
        <v>601351800</v>
      </c>
      <c r="G969" s="117">
        <f t="shared" si="57"/>
        <v>92.515661538461529</v>
      </c>
      <c r="H969" s="117">
        <v>100</v>
      </c>
      <c r="I969" s="111"/>
    </row>
    <row r="970" spans="3:9" ht="16.5" hidden="1" customHeight="1" x14ac:dyDescent="0.25">
      <c r="C970" s="226"/>
      <c r="D970" s="48" t="s">
        <v>894</v>
      </c>
      <c r="E970" s="112">
        <v>1000000000</v>
      </c>
      <c r="F970" s="242">
        <f>F971</f>
        <v>995927000</v>
      </c>
      <c r="G970" s="114">
        <f t="shared" si="57"/>
        <v>99.592700000000008</v>
      </c>
      <c r="H970" s="114">
        <f>H971</f>
        <v>100</v>
      </c>
      <c r="I970" s="111"/>
    </row>
    <row r="971" spans="3:9" ht="16.5" hidden="1" customHeight="1" x14ac:dyDescent="0.25">
      <c r="C971" s="226"/>
      <c r="D971" s="32" t="s">
        <v>895</v>
      </c>
      <c r="E971" s="172">
        <v>1000000000</v>
      </c>
      <c r="F971" s="243">
        <v>995927000</v>
      </c>
      <c r="G971" s="117">
        <f t="shared" si="57"/>
        <v>99.592700000000008</v>
      </c>
      <c r="H971" s="117">
        <v>100</v>
      </c>
      <c r="I971" s="111"/>
    </row>
    <row r="972" spans="3:9" ht="16.5" hidden="1" customHeight="1" x14ac:dyDescent="0.25">
      <c r="C972" s="226"/>
      <c r="D972" s="48" t="s">
        <v>896</v>
      </c>
      <c r="E972" s="112">
        <v>700000000</v>
      </c>
      <c r="F972" s="242">
        <f>SUM(F973:F974)</f>
        <v>606752000</v>
      </c>
      <c r="G972" s="114">
        <f t="shared" si="57"/>
        <v>86.67885714285714</v>
      </c>
      <c r="H972" s="114">
        <f>(H973+H974)/2</f>
        <v>95</v>
      </c>
      <c r="I972" s="111"/>
    </row>
    <row r="973" spans="3:9" ht="16.5" hidden="1" customHeight="1" x14ac:dyDescent="0.25">
      <c r="C973" s="389"/>
      <c r="D973" s="32" t="s">
        <v>897</v>
      </c>
      <c r="E973" s="172">
        <v>400000000</v>
      </c>
      <c r="F973" s="243">
        <v>326000000</v>
      </c>
      <c r="G973" s="117">
        <f t="shared" si="57"/>
        <v>81.5</v>
      </c>
      <c r="H973" s="117">
        <v>90</v>
      </c>
      <c r="I973" s="111"/>
    </row>
    <row r="974" spans="3:9" ht="16.5" hidden="1" customHeight="1" x14ac:dyDescent="0.25">
      <c r="C974" s="389"/>
      <c r="D974" s="32" t="s">
        <v>898</v>
      </c>
      <c r="E974" s="172">
        <v>300000000</v>
      </c>
      <c r="F974" s="243">
        <v>280752000</v>
      </c>
      <c r="G974" s="117">
        <f t="shared" si="57"/>
        <v>93.584000000000003</v>
      </c>
      <c r="H974" s="117">
        <v>100</v>
      </c>
      <c r="I974" s="111"/>
    </row>
    <row r="975" spans="3:9" ht="16.5" hidden="1" customHeight="1" x14ac:dyDescent="0.25">
      <c r="C975" s="226"/>
      <c r="D975" s="48" t="s">
        <v>899</v>
      </c>
      <c r="E975" s="112">
        <v>250000000</v>
      </c>
      <c r="F975" s="242">
        <f>F976</f>
        <v>213650800</v>
      </c>
      <c r="G975" s="114">
        <f t="shared" si="57"/>
        <v>85.460319999999996</v>
      </c>
      <c r="H975" s="114">
        <f>H976</f>
        <v>85</v>
      </c>
      <c r="I975" s="111"/>
    </row>
    <row r="976" spans="3:9" ht="16.5" hidden="1" customHeight="1" x14ac:dyDescent="0.25">
      <c r="C976" s="226"/>
      <c r="D976" s="32" t="s">
        <v>900</v>
      </c>
      <c r="E976" s="172">
        <v>250000000</v>
      </c>
      <c r="F976" s="243">
        <v>213650800</v>
      </c>
      <c r="G976" s="117">
        <f t="shared" si="57"/>
        <v>85.460319999999996</v>
      </c>
      <c r="H976" s="117">
        <v>85</v>
      </c>
      <c r="I976" s="111"/>
    </row>
    <row r="977" spans="3:9" ht="10.5" hidden="1" customHeight="1" x14ac:dyDescent="0.25">
      <c r="C977" s="226"/>
      <c r="D977" s="32"/>
      <c r="E977" s="172"/>
      <c r="F977" s="108"/>
      <c r="G977" s="117"/>
      <c r="H977" s="117"/>
      <c r="I977" s="111"/>
    </row>
    <row r="978" spans="3:9" ht="16.5" hidden="1" customHeight="1" x14ac:dyDescent="0.25">
      <c r="C978" s="226"/>
      <c r="D978" s="48" t="s">
        <v>901</v>
      </c>
      <c r="E978" s="112">
        <v>400000000</v>
      </c>
      <c r="F978" s="242">
        <f>F979</f>
        <v>250000000</v>
      </c>
      <c r="G978" s="114">
        <f t="shared" ref="G978:G983" si="58">F978/E978*100</f>
        <v>62.5</v>
      </c>
      <c r="H978" s="114">
        <f>H979</f>
        <v>50</v>
      </c>
      <c r="I978" s="111"/>
    </row>
    <row r="979" spans="3:9" s="115" customFormat="1" ht="16.5" hidden="1" customHeight="1" x14ac:dyDescent="0.25">
      <c r="C979" s="390"/>
      <c r="D979" s="48" t="s">
        <v>902</v>
      </c>
      <c r="E979" s="112">
        <v>400000000</v>
      </c>
      <c r="F979" s="242">
        <f>F980</f>
        <v>250000000</v>
      </c>
      <c r="G979" s="114">
        <f t="shared" si="58"/>
        <v>62.5</v>
      </c>
      <c r="H979" s="114">
        <f>(H980+H982)/2</f>
        <v>50</v>
      </c>
      <c r="I979" s="121"/>
    </row>
    <row r="980" spans="3:9" ht="21.75" hidden="1" customHeight="1" x14ac:dyDescent="0.25">
      <c r="C980" s="389"/>
      <c r="D980" s="217" t="s">
        <v>364</v>
      </c>
      <c r="E980" s="112">
        <v>250000000</v>
      </c>
      <c r="F980" s="242">
        <f>SUM(F981:F983)</f>
        <v>250000000</v>
      </c>
      <c r="G980" s="114">
        <f t="shared" si="58"/>
        <v>100</v>
      </c>
      <c r="H980" s="114">
        <v>100</v>
      </c>
      <c r="I980" s="111"/>
    </row>
    <row r="981" spans="3:9" ht="16.5" hidden="1" customHeight="1" x14ac:dyDescent="0.25">
      <c r="C981" s="226"/>
      <c r="D981" s="32" t="s">
        <v>897</v>
      </c>
      <c r="E981" s="172">
        <v>250000000</v>
      </c>
      <c r="F981" s="243">
        <v>250000000</v>
      </c>
      <c r="G981" s="117">
        <f t="shared" si="58"/>
        <v>100</v>
      </c>
      <c r="H981" s="117">
        <v>100</v>
      </c>
      <c r="I981" s="111"/>
    </row>
    <row r="982" spans="3:9" ht="16.5" hidden="1" customHeight="1" x14ac:dyDescent="0.25">
      <c r="C982" s="226"/>
      <c r="D982" s="48" t="s">
        <v>370</v>
      </c>
      <c r="E982" s="112">
        <v>150000000</v>
      </c>
      <c r="F982" s="113">
        <v>0</v>
      </c>
      <c r="G982" s="114">
        <f t="shared" si="58"/>
        <v>0</v>
      </c>
      <c r="H982" s="114"/>
      <c r="I982" s="111"/>
    </row>
    <row r="983" spans="3:9" ht="16.5" hidden="1" customHeight="1" x14ac:dyDescent="0.25">
      <c r="C983" s="226"/>
      <c r="D983" s="32" t="s">
        <v>903</v>
      </c>
      <c r="E983" s="172">
        <v>150000000</v>
      </c>
      <c r="F983" s="108"/>
      <c r="G983" s="117">
        <f t="shared" si="58"/>
        <v>0</v>
      </c>
      <c r="H983" s="117"/>
      <c r="I983" s="111"/>
    </row>
    <row r="984" spans="3:9" ht="16.5" hidden="1" customHeight="1" x14ac:dyDescent="0.25">
      <c r="C984" s="226"/>
      <c r="D984" s="32"/>
      <c r="E984" s="172"/>
      <c r="F984" s="108">
        <v>0</v>
      </c>
      <c r="G984" s="117"/>
      <c r="H984" s="117"/>
      <c r="I984" s="111"/>
    </row>
    <row r="985" spans="3:9" ht="16.5" hidden="1" customHeight="1" x14ac:dyDescent="0.25">
      <c r="C985" s="226"/>
      <c r="D985" s="48" t="s">
        <v>904</v>
      </c>
      <c r="E985" s="112">
        <v>1850000000</v>
      </c>
      <c r="F985" s="242">
        <f>F986</f>
        <v>1808334242</v>
      </c>
      <c r="G985" s="117">
        <f t="shared" ref="G985:G995" si="59">F985/E985*100</f>
        <v>97.747796864864867</v>
      </c>
      <c r="H985" s="117">
        <f>(H987+H990+H992+H994)/4</f>
        <v>100</v>
      </c>
      <c r="I985" s="111"/>
    </row>
    <row r="986" spans="3:9" s="115" customFormat="1" ht="16.5" hidden="1" customHeight="1" x14ac:dyDescent="0.25">
      <c r="C986" s="222"/>
      <c r="D986" s="48" t="s">
        <v>905</v>
      </c>
      <c r="E986" s="112">
        <v>1850000000</v>
      </c>
      <c r="F986" s="242">
        <f>F987+F990+F992+F994</f>
        <v>1808334242</v>
      </c>
      <c r="G986" s="114">
        <f t="shared" si="59"/>
        <v>97.747796864864867</v>
      </c>
      <c r="H986" s="114">
        <f>(H987+H990+H992+H994)/4</f>
        <v>100</v>
      </c>
      <c r="I986" s="121"/>
    </row>
    <row r="987" spans="3:9" ht="16.5" hidden="1" customHeight="1" x14ac:dyDescent="0.25">
      <c r="C987" s="226"/>
      <c r="D987" s="48" t="s">
        <v>400</v>
      </c>
      <c r="E987" s="112">
        <v>350000000</v>
      </c>
      <c r="F987" s="242">
        <f>SUM(F988:F989)</f>
        <v>349965100</v>
      </c>
      <c r="G987" s="114">
        <f t="shared" si="59"/>
        <v>99.990028571428567</v>
      </c>
      <c r="H987" s="114">
        <f>(H988+H989)/2</f>
        <v>100</v>
      </c>
      <c r="I987" s="111"/>
    </row>
    <row r="988" spans="3:9" ht="16.5" hidden="1" customHeight="1" x14ac:dyDescent="0.25">
      <c r="C988" s="226"/>
      <c r="D988" s="32" t="s">
        <v>401</v>
      </c>
      <c r="E988" s="172">
        <v>200000000</v>
      </c>
      <c r="F988" s="243">
        <v>200000000</v>
      </c>
      <c r="G988" s="117">
        <f t="shared" si="59"/>
        <v>100</v>
      </c>
      <c r="H988" s="117">
        <v>100</v>
      </c>
      <c r="I988" s="111"/>
    </row>
    <row r="989" spans="3:9" ht="16.5" hidden="1" customHeight="1" x14ac:dyDescent="0.25">
      <c r="C989" s="226"/>
      <c r="D989" s="32" t="s">
        <v>906</v>
      </c>
      <c r="E989" s="172">
        <v>150000000</v>
      </c>
      <c r="F989" s="243">
        <v>149965100</v>
      </c>
      <c r="G989" s="117">
        <f t="shared" si="59"/>
        <v>99.976733333333328</v>
      </c>
      <c r="H989" s="117">
        <v>100</v>
      </c>
      <c r="I989" s="111"/>
    </row>
    <row r="990" spans="3:9" ht="16.5" hidden="1" customHeight="1" x14ac:dyDescent="0.25">
      <c r="C990" s="226"/>
      <c r="D990" s="48" t="s">
        <v>405</v>
      </c>
      <c r="E990" s="112">
        <v>1000000000</v>
      </c>
      <c r="F990" s="242">
        <f>F991</f>
        <v>958646142</v>
      </c>
      <c r="G990" s="114">
        <f t="shared" si="59"/>
        <v>95.864614199999991</v>
      </c>
      <c r="H990" s="114">
        <v>100</v>
      </c>
      <c r="I990" s="111"/>
    </row>
    <row r="991" spans="3:9" ht="28.5" hidden="1" customHeight="1" x14ac:dyDescent="0.25">
      <c r="C991" s="226"/>
      <c r="D991" s="119" t="s">
        <v>907</v>
      </c>
      <c r="E991" s="172">
        <v>1000000000</v>
      </c>
      <c r="F991" s="243">
        <v>958646142</v>
      </c>
      <c r="G991" s="117">
        <f t="shared" si="59"/>
        <v>95.864614199999991</v>
      </c>
      <c r="H991" s="117">
        <v>100</v>
      </c>
      <c r="I991" s="111"/>
    </row>
    <row r="992" spans="3:9" ht="16.5" hidden="1" customHeight="1" x14ac:dyDescent="0.25">
      <c r="C992" s="226"/>
      <c r="D992" s="48" t="s">
        <v>908</v>
      </c>
      <c r="E992" s="112">
        <v>300000000</v>
      </c>
      <c r="F992" s="242">
        <f>F993</f>
        <v>299723000</v>
      </c>
      <c r="G992" s="114">
        <f t="shared" si="59"/>
        <v>99.907666666666657</v>
      </c>
      <c r="H992" s="114">
        <f>H993</f>
        <v>100</v>
      </c>
      <c r="I992" s="111"/>
    </row>
    <row r="993" spans="3:9" ht="16.5" hidden="1" customHeight="1" x14ac:dyDescent="0.25">
      <c r="C993" s="389"/>
      <c r="D993" s="32" t="s">
        <v>909</v>
      </c>
      <c r="E993" s="172">
        <v>300000000</v>
      </c>
      <c r="F993" s="243">
        <v>299723000</v>
      </c>
      <c r="G993" s="117">
        <f t="shared" si="59"/>
        <v>99.907666666666657</v>
      </c>
      <c r="H993" s="117">
        <v>100</v>
      </c>
      <c r="I993" s="111"/>
    </row>
    <row r="994" spans="3:9" ht="16.5" hidden="1" customHeight="1" x14ac:dyDescent="0.25">
      <c r="C994" s="226"/>
      <c r="D994" s="48" t="s">
        <v>441</v>
      </c>
      <c r="E994" s="112">
        <v>200000000</v>
      </c>
      <c r="F994" s="242">
        <f>F995</f>
        <v>200000000</v>
      </c>
      <c r="G994" s="114">
        <f t="shared" si="59"/>
        <v>100</v>
      </c>
      <c r="H994" s="114">
        <f>H995</f>
        <v>100</v>
      </c>
      <c r="I994" s="111"/>
    </row>
    <row r="995" spans="3:9" ht="16.5" hidden="1" customHeight="1" x14ac:dyDescent="0.25">
      <c r="C995" s="226"/>
      <c r="D995" s="119" t="s">
        <v>910</v>
      </c>
      <c r="E995" s="172">
        <v>200000000</v>
      </c>
      <c r="F995" s="243">
        <v>200000000</v>
      </c>
      <c r="G995" s="117">
        <f t="shared" si="59"/>
        <v>100</v>
      </c>
      <c r="H995" s="117">
        <v>100</v>
      </c>
      <c r="I995" s="111"/>
    </row>
    <row r="996" spans="3:9" ht="16.5" hidden="1" customHeight="1" x14ac:dyDescent="0.25">
      <c r="C996" s="226"/>
      <c r="D996" s="32"/>
      <c r="E996" s="172"/>
      <c r="F996" s="108"/>
      <c r="G996" s="117"/>
      <c r="H996" s="117"/>
      <c r="I996" s="111"/>
    </row>
    <row r="997" spans="3:9" ht="16.5" hidden="1" customHeight="1" x14ac:dyDescent="0.25">
      <c r="C997" s="226"/>
      <c r="D997" s="48" t="s">
        <v>911</v>
      </c>
      <c r="E997" s="112">
        <v>1200000000</v>
      </c>
      <c r="F997" s="242">
        <f>F998</f>
        <v>1195658000</v>
      </c>
      <c r="G997" s="114">
        <f t="shared" ref="G997:G1004" si="60">F997/E997*100</f>
        <v>99.638166666666677</v>
      </c>
      <c r="H997" s="114">
        <f>H998</f>
        <v>100</v>
      </c>
      <c r="I997" s="111"/>
    </row>
    <row r="998" spans="3:9" s="115" customFormat="1" ht="16.5" hidden="1" customHeight="1" x14ac:dyDescent="0.25">
      <c r="C998" s="222"/>
      <c r="D998" s="48" t="s">
        <v>912</v>
      </c>
      <c r="E998" s="112">
        <v>1200000000</v>
      </c>
      <c r="F998" s="242">
        <f>F999+F1001+F1003</f>
        <v>1195658000</v>
      </c>
      <c r="G998" s="114">
        <f t="shared" si="60"/>
        <v>99.638166666666677</v>
      </c>
      <c r="H998" s="114">
        <f>(H999+H1001+H1003)/3</f>
        <v>100</v>
      </c>
      <c r="I998" s="121"/>
    </row>
    <row r="999" spans="3:9" ht="16.5" hidden="1" customHeight="1" x14ac:dyDescent="0.25">
      <c r="C999" s="226"/>
      <c r="D999" s="48" t="s">
        <v>913</v>
      </c>
      <c r="E999" s="112">
        <v>200000000</v>
      </c>
      <c r="F999" s="242">
        <f>F1000</f>
        <v>197684000</v>
      </c>
      <c r="G999" s="114">
        <f t="shared" si="60"/>
        <v>98.841999999999999</v>
      </c>
      <c r="H999" s="114">
        <f>H1000</f>
        <v>100</v>
      </c>
      <c r="I999" s="111"/>
    </row>
    <row r="1000" spans="3:9" ht="16.5" hidden="1" customHeight="1" x14ac:dyDescent="0.25">
      <c r="C1000" s="389"/>
      <c r="D1000" s="32" t="s">
        <v>887</v>
      </c>
      <c r="E1000" s="172">
        <v>200000000</v>
      </c>
      <c r="F1000" s="243">
        <v>197684000</v>
      </c>
      <c r="G1000" s="117">
        <f t="shared" si="60"/>
        <v>98.841999999999999</v>
      </c>
      <c r="H1000" s="117">
        <v>100</v>
      </c>
      <c r="I1000" s="111"/>
    </row>
    <row r="1001" spans="3:9" ht="16.5" hidden="1" customHeight="1" x14ac:dyDescent="0.25">
      <c r="C1001" s="226"/>
      <c r="D1001" s="48" t="s">
        <v>914</v>
      </c>
      <c r="E1001" s="112">
        <v>500000000</v>
      </c>
      <c r="F1001" s="242">
        <f>F1002</f>
        <v>499062000</v>
      </c>
      <c r="G1001" s="114">
        <f t="shared" si="60"/>
        <v>99.812399999999997</v>
      </c>
      <c r="H1001" s="114">
        <f>H1002</f>
        <v>100</v>
      </c>
      <c r="I1001" s="111"/>
    </row>
    <row r="1002" spans="3:9" ht="16.5" hidden="1" customHeight="1" x14ac:dyDescent="0.25">
      <c r="C1002" s="226"/>
      <c r="D1002" s="32" t="s">
        <v>915</v>
      </c>
      <c r="E1002" s="172">
        <v>500000000</v>
      </c>
      <c r="F1002" s="243">
        <v>499062000</v>
      </c>
      <c r="G1002" s="117">
        <f t="shared" si="60"/>
        <v>99.812399999999997</v>
      </c>
      <c r="H1002" s="117">
        <v>100</v>
      </c>
      <c r="I1002" s="111"/>
    </row>
    <row r="1003" spans="3:9" ht="16.5" hidden="1" customHeight="1" x14ac:dyDescent="0.25">
      <c r="C1003" s="226"/>
      <c r="D1003" s="48" t="s">
        <v>916</v>
      </c>
      <c r="E1003" s="112">
        <v>500000000</v>
      </c>
      <c r="F1003" s="242">
        <f>F1004</f>
        <v>498912000</v>
      </c>
      <c r="G1003" s="114">
        <f t="shared" si="60"/>
        <v>99.78240000000001</v>
      </c>
      <c r="H1003" s="114">
        <f>H1004</f>
        <v>100</v>
      </c>
      <c r="I1003" s="111"/>
    </row>
    <row r="1004" spans="3:9" ht="16.5" hidden="1" customHeight="1" x14ac:dyDescent="0.25">
      <c r="C1004" s="226"/>
      <c r="D1004" s="32" t="s">
        <v>917</v>
      </c>
      <c r="E1004" s="172">
        <v>500000000</v>
      </c>
      <c r="F1004" s="243">
        <v>498912000</v>
      </c>
      <c r="G1004" s="117">
        <f t="shared" si="60"/>
        <v>99.78240000000001</v>
      </c>
      <c r="H1004" s="117">
        <v>100</v>
      </c>
      <c r="I1004" s="111"/>
    </row>
    <row r="1005" spans="3:9" ht="16.5" hidden="1" customHeight="1" x14ac:dyDescent="0.25">
      <c r="C1005" s="226"/>
      <c r="D1005" s="32"/>
      <c r="E1005" s="172"/>
      <c r="F1005" s="108"/>
      <c r="G1005" s="117"/>
      <c r="H1005" s="117"/>
      <c r="I1005" s="111"/>
    </row>
    <row r="1006" spans="3:9" s="115" customFormat="1" ht="16.5" hidden="1" customHeight="1" x14ac:dyDescent="0.25">
      <c r="C1006" s="222"/>
      <c r="D1006" s="48" t="s">
        <v>316</v>
      </c>
      <c r="E1006" s="112">
        <v>1100000000</v>
      </c>
      <c r="F1006" s="242">
        <f>F1007</f>
        <v>1098180000</v>
      </c>
      <c r="G1006" s="114">
        <f>F1006/E1006*100</f>
        <v>99.834545454545449</v>
      </c>
      <c r="H1006" s="114">
        <f>H1007</f>
        <v>100</v>
      </c>
      <c r="I1006" s="121"/>
    </row>
    <row r="1007" spans="3:9" ht="16.5" hidden="1" customHeight="1" x14ac:dyDescent="0.25">
      <c r="C1007" s="226"/>
      <c r="D1007" s="48" t="s">
        <v>918</v>
      </c>
      <c r="E1007" s="112">
        <v>1100000000</v>
      </c>
      <c r="F1007" s="242">
        <f>SUM(F1008:F1009)</f>
        <v>1098180000</v>
      </c>
      <c r="G1007" s="114">
        <f>F1007/E1007*100</f>
        <v>99.834545454545449</v>
      </c>
      <c r="H1007" s="114">
        <v>100</v>
      </c>
      <c r="I1007" s="111"/>
    </row>
    <row r="1008" spans="3:9" ht="16.5" hidden="1" customHeight="1" x14ac:dyDescent="0.25">
      <c r="C1008" s="226"/>
      <c r="D1008" s="32" t="s">
        <v>919</v>
      </c>
      <c r="E1008" s="172">
        <v>600000000</v>
      </c>
      <c r="F1008" s="243">
        <v>599640000</v>
      </c>
      <c r="G1008" s="117">
        <f>F1008/E1008*100</f>
        <v>99.94</v>
      </c>
      <c r="H1008" s="117">
        <v>100</v>
      </c>
      <c r="I1008" s="111"/>
    </row>
    <row r="1009" spans="3:9" ht="16.5" hidden="1" customHeight="1" x14ac:dyDescent="0.25">
      <c r="C1009" s="226"/>
      <c r="D1009" s="32" t="s">
        <v>920</v>
      </c>
      <c r="E1009" s="172">
        <v>500000000</v>
      </c>
      <c r="F1009" s="243">
        <v>498540000</v>
      </c>
      <c r="G1009" s="117">
        <f>F1009/E1009*100</f>
        <v>99.707999999999998</v>
      </c>
      <c r="H1009" s="117">
        <v>100</v>
      </c>
      <c r="I1009" s="111"/>
    </row>
    <row r="1010" spans="3:9" ht="16.5" hidden="1" customHeight="1" x14ac:dyDescent="0.25">
      <c r="C1010" s="226"/>
      <c r="D1010" s="32"/>
      <c r="E1010" s="172"/>
      <c r="F1010" s="108"/>
      <c r="G1010" s="117"/>
      <c r="H1010" s="117"/>
      <c r="I1010" s="111"/>
    </row>
    <row r="1011" spans="3:9" ht="16.5" hidden="1" customHeight="1" x14ac:dyDescent="0.25">
      <c r="C1011" s="226"/>
      <c r="D1011" s="48" t="s">
        <v>329</v>
      </c>
      <c r="E1011" s="112">
        <v>3050000000</v>
      </c>
      <c r="F1011" s="242">
        <f>F1012+F1016+F1018+F1020+F1022</f>
        <v>2699628900</v>
      </c>
      <c r="G1011" s="363">
        <f t="shared" ref="G1011:G1023" si="61">F1011/E1011*100</f>
        <v>88.512422950819669</v>
      </c>
      <c r="H1011" s="246">
        <f>(H1012+H1016+H1018+H1020+H1022)/5</f>
        <v>94.666666666666657</v>
      </c>
      <c r="I1011" s="111"/>
    </row>
    <row r="1012" spans="3:9" ht="16.5" hidden="1" customHeight="1" x14ac:dyDescent="0.25">
      <c r="C1012" s="226"/>
      <c r="D1012" s="48" t="s">
        <v>899</v>
      </c>
      <c r="E1012" s="112">
        <v>1000000000</v>
      </c>
      <c r="F1012" s="242">
        <f>SUM(F1013:F1015)</f>
        <v>949792300</v>
      </c>
      <c r="G1012" s="363">
        <f t="shared" si="61"/>
        <v>94.979230000000001</v>
      </c>
      <c r="H1012" s="246">
        <f>(H1013+H1014+H1015)/3</f>
        <v>98.333333333333329</v>
      </c>
      <c r="I1012" s="111"/>
    </row>
    <row r="1013" spans="3:9" ht="16.5" hidden="1" customHeight="1" x14ac:dyDescent="0.25">
      <c r="C1013" s="226"/>
      <c r="D1013" s="32" t="s">
        <v>921</v>
      </c>
      <c r="E1013" s="172">
        <v>400000000</v>
      </c>
      <c r="F1013" s="243">
        <v>369041300</v>
      </c>
      <c r="G1013" s="364">
        <f t="shared" si="61"/>
        <v>92.260324999999995</v>
      </c>
      <c r="H1013" s="247">
        <v>95</v>
      </c>
      <c r="I1013" s="111"/>
    </row>
    <row r="1014" spans="3:9" ht="23.25" hidden="1" customHeight="1" x14ac:dyDescent="0.25">
      <c r="C1014" s="226"/>
      <c r="D1014" s="119" t="s">
        <v>922</v>
      </c>
      <c r="E1014" s="172">
        <v>300000000</v>
      </c>
      <c r="F1014" s="243">
        <v>289001000</v>
      </c>
      <c r="G1014" s="364">
        <f t="shared" si="61"/>
        <v>96.333666666666659</v>
      </c>
      <c r="H1014" s="247">
        <v>100</v>
      </c>
      <c r="I1014" s="111"/>
    </row>
    <row r="1015" spans="3:9" ht="32.25" hidden="1" customHeight="1" x14ac:dyDescent="0.25">
      <c r="C1015" s="226"/>
      <c r="D1015" s="119" t="s">
        <v>923</v>
      </c>
      <c r="E1015" s="172">
        <v>300000000</v>
      </c>
      <c r="F1015" s="243">
        <v>291750000</v>
      </c>
      <c r="G1015" s="364">
        <f t="shared" si="61"/>
        <v>97.25</v>
      </c>
      <c r="H1015" s="247">
        <v>100</v>
      </c>
      <c r="I1015" s="111"/>
    </row>
    <row r="1016" spans="3:9" ht="16.5" hidden="1" customHeight="1" x14ac:dyDescent="0.25">
      <c r="C1016" s="226"/>
      <c r="D1016" s="48" t="s">
        <v>924</v>
      </c>
      <c r="E1016" s="112">
        <v>400000000</v>
      </c>
      <c r="F1016" s="242">
        <f>F1017</f>
        <v>383813600</v>
      </c>
      <c r="G1016" s="363">
        <f t="shared" si="61"/>
        <v>95.953400000000002</v>
      </c>
      <c r="H1016" s="246">
        <f>H1017</f>
        <v>95</v>
      </c>
      <c r="I1016" s="111"/>
    </row>
    <row r="1017" spans="3:9" ht="24" hidden="1" customHeight="1" x14ac:dyDescent="0.25">
      <c r="C1017" s="226"/>
      <c r="D1017" s="119" t="s">
        <v>925</v>
      </c>
      <c r="E1017" s="172">
        <v>400000000</v>
      </c>
      <c r="F1017" s="243">
        <v>383813600</v>
      </c>
      <c r="G1017" s="364">
        <f t="shared" si="61"/>
        <v>95.953400000000002</v>
      </c>
      <c r="H1017" s="247">
        <v>95</v>
      </c>
      <c r="I1017" s="111"/>
    </row>
    <row r="1018" spans="3:9" ht="16.5" hidden="1" customHeight="1" x14ac:dyDescent="0.25">
      <c r="C1018" s="226"/>
      <c r="D1018" s="48" t="s">
        <v>705</v>
      </c>
      <c r="E1018" s="112">
        <v>250000000</v>
      </c>
      <c r="F1018" s="242">
        <f>F1019</f>
        <v>250000000</v>
      </c>
      <c r="G1018" s="363">
        <f t="shared" si="61"/>
        <v>100</v>
      </c>
      <c r="H1018" s="246">
        <f>F1018/E1018*G1018</f>
        <v>100</v>
      </c>
      <c r="I1018" s="111"/>
    </row>
    <row r="1019" spans="3:9" ht="16.5" hidden="1" customHeight="1" x14ac:dyDescent="0.25">
      <c r="C1019" s="226"/>
      <c r="D1019" s="32" t="s">
        <v>926</v>
      </c>
      <c r="E1019" s="172">
        <v>250000000</v>
      </c>
      <c r="F1019" s="243">
        <v>250000000</v>
      </c>
      <c r="G1019" s="364">
        <f t="shared" si="61"/>
        <v>100</v>
      </c>
      <c r="H1019" s="247">
        <f>F1019/E1019*G1019</f>
        <v>100</v>
      </c>
      <c r="I1019" s="111"/>
    </row>
    <row r="1020" spans="3:9" ht="16.5" hidden="1" customHeight="1" x14ac:dyDescent="0.25">
      <c r="C1020" s="226"/>
      <c r="D1020" s="48" t="s">
        <v>927</v>
      </c>
      <c r="E1020" s="112">
        <v>1200000000</v>
      </c>
      <c r="F1020" s="242">
        <f>F1021</f>
        <v>916523000</v>
      </c>
      <c r="G1020" s="363">
        <f t="shared" si="61"/>
        <v>76.376916666666673</v>
      </c>
      <c r="H1020" s="246">
        <f>H1021</f>
        <v>80</v>
      </c>
      <c r="I1020" s="111"/>
    </row>
    <row r="1021" spans="3:9" ht="29.25" hidden="1" customHeight="1" x14ac:dyDescent="0.25">
      <c r="C1021" s="226"/>
      <c r="D1021" s="119" t="s">
        <v>928</v>
      </c>
      <c r="E1021" s="172">
        <v>1200000000</v>
      </c>
      <c r="F1021" s="243">
        <v>916523000</v>
      </c>
      <c r="G1021" s="364">
        <f t="shared" si="61"/>
        <v>76.376916666666673</v>
      </c>
      <c r="H1021" s="247">
        <v>80</v>
      </c>
      <c r="I1021" s="111"/>
    </row>
    <row r="1022" spans="3:9" ht="16.5" hidden="1" customHeight="1" x14ac:dyDescent="0.25">
      <c r="C1022" s="226"/>
      <c r="D1022" s="48" t="s">
        <v>929</v>
      </c>
      <c r="E1022" s="112">
        <v>200000000</v>
      </c>
      <c r="F1022" s="242">
        <f>F1023</f>
        <v>199500000</v>
      </c>
      <c r="G1022" s="363">
        <f t="shared" si="61"/>
        <v>99.75</v>
      </c>
      <c r="H1022" s="246">
        <f>H1023</f>
        <v>100</v>
      </c>
      <c r="I1022" s="111"/>
    </row>
    <row r="1023" spans="3:9" ht="16.5" hidden="1" customHeight="1" x14ac:dyDescent="0.25">
      <c r="C1023" s="226"/>
      <c r="D1023" s="32" t="s">
        <v>930</v>
      </c>
      <c r="E1023" s="172">
        <v>200000000</v>
      </c>
      <c r="F1023" s="243">
        <v>199500000</v>
      </c>
      <c r="G1023" s="364">
        <f t="shared" si="61"/>
        <v>99.75</v>
      </c>
      <c r="H1023" s="247">
        <v>100</v>
      </c>
      <c r="I1023" s="111"/>
    </row>
    <row r="1024" spans="3:9" ht="16.5" hidden="1" customHeight="1" x14ac:dyDescent="0.25">
      <c r="C1024" s="226"/>
      <c r="D1024" s="32"/>
      <c r="E1024" s="172"/>
      <c r="F1024" s="108"/>
      <c r="G1024" s="117"/>
      <c r="H1024" s="117"/>
      <c r="I1024" s="111"/>
    </row>
    <row r="1025" spans="3:9" ht="16.5" hidden="1" customHeight="1" x14ac:dyDescent="0.25">
      <c r="C1025" s="389"/>
      <c r="D1025" s="48" t="s">
        <v>931</v>
      </c>
      <c r="E1025" s="112">
        <v>700000000</v>
      </c>
      <c r="F1025" s="242">
        <f>F1026</f>
        <v>629695800</v>
      </c>
      <c r="G1025" s="363">
        <f>F1025/E1025*100</f>
        <v>89.956542857142864</v>
      </c>
      <c r="H1025" s="246">
        <f>H1026</f>
        <v>90</v>
      </c>
      <c r="I1025" s="111"/>
    </row>
    <row r="1026" spans="3:9" ht="16.5" hidden="1" customHeight="1" x14ac:dyDescent="0.25">
      <c r="C1026" s="226"/>
      <c r="D1026" s="48" t="s">
        <v>348</v>
      </c>
      <c r="E1026" s="112">
        <v>700000000</v>
      </c>
      <c r="F1026" s="242">
        <f>F1027</f>
        <v>629695800</v>
      </c>
      <c r="G1026" s="363">
        <f>F1026/E1026*100</f>
        <v>89.956542857142864</v>
      </c>
      <c r="H1026" s="246">
        <f>H1027</f>
        <v>90</v>
      </c>
      <c r="I1026" s="111"/>
    </row>
    <row r="1027" spans="3:9" ht="16.5" hidden="1" customHeight="1" x14ac:dyDescent="0.25">
      <c r="C1027" s="226"/>
      <c r="D1027" s="48" t="s">
        <v>932</v>
      </c>
      <c r="E1027" s="112">
        <v>700000000</v>
      </c>
      <c r="F1027" s="242">
        <f>F1028</f>
        <v>629695800</v>
      </c>
      <c r="G1027" s="363">
        <f>F1027/E1027*100</f>
        <v>89.956542857142864</v>
      </c>
      <c r="H1027" s="246">
        <f>H1028</f>
        <v>90</v>
      </c>
      <c r="I1027" s="111"/>
    </row>
    <row r="1028" spans="3:9" ht="16.5" hidden="1" customHeight="1" x14ac:dyDescent="0.25">
      <c r="C1028" s="226"/>
      <c r="D1028" s="32" t="s">
        <v>933</v>
      </c>
      <c r="E1028" s="172">
        <v>700000000</v>
      </c>
      <c r="F1028" s="243">
        <v>629695800</v>
      </c>
      <c r="G1028" s="364">
        <f>F1028/E1028*100</f>
        <v>89.956542857142864</v>
      </c>
      <c r="H1028" s="247">
        <v>90</v>
      </c>
      <c r="I1028" s="111"/>
    </row>
    <row r="1029" spans="3:9" ht="16.5" hidden="1" customHeight="1" x14ac:dyDescent="0.25">
      <c r="C1029" s="226"/>
      <c r="D1029" s="32"/>
      <c r="E1029" s="172"/>
      <c r="F1029" s="108"/>
      <c r="G1029" s="117"/>
      <c r="H1029" s="117"/>
      <c r="I1029" s="111"/>
    </row>
    <row r="1030" spans="3:9" ht="16.5" hidden="1" customHeight="1" x14ac:dyDescent="0.25">
      <c r="C1030" s="226"/>
      <c r="D1030" s="48" t="s">
        <v>934</v>
      </c>
      <c r="E1030" s="112">
        <v>650000000</v>
      </c>
      <c r="F1030" s="242">
        <f>F1031+F1033</f>
        <v>649250000</v>
      </c>
      <c r="G1030" s="364">
        <f>F1030/E1030*100</f>
        <v>99.884615384615387</v>
      </c>
      <c r="H1030" s="247">
        <f>(H1031+H1033)/2</f>
        <v>100</v>
      </c>
      <c r="I1030" s="111"/>
    </row>
    <row r="1031" spans="3:9" ht="16.5" hidden="1" customHeight="1" x14ac:dyDescent="0.25">
      <c r="C1031" s="226"/>
      <c r="D1031" s="48" t="s">
        <v>935</v>
      </c>
      <c r="E1031" s="112">
        <v>250000000</v>
      </c>
      <c r="F1031" s="242">
        <f>F1032</f>
        <v>250000000</v>
      </c>
      <c r="G1031" s="363">
        <f>F1031/E1031*100</f>
        <v>100</v>
      </c>
      <c r="H1031" s="246">
        <f>F1031/E1031*G1031</f>
        <v>100</v>
      </c>
      <c r="I1031" s="111"/>
    </row>
    <row r="1032" spans="3:9" ht="24" hidden="1" customHeight="1" x14ac:dyDescent="0.25">
      <c r="C1032" s="226"/>
      <c r="D1032" s="119" t="s">
        <v>936</v>
      </c>
      <c r="E1032" s="172">
        <v>250000000</v>
      </c>
      <c r="F1032" s="243">
        <v>250000000</v>
      </c>
      <c r="G1032" s="364">
        <f>F1032/E1032*100</f>
        <v>100</v>
      </c>
      <c r="H1032" s="247">
        <f>F1032/E1032*G1032</f>
        <v>100</v>
      </c>
      <c r="I1032" s="111"/>
    </row>
    <row r="1033" spans="3:9" ht="16.5" hidden="1" customHeight="1" x14ac:dyDescent="0.25">
      <c r="C1033" s="226"/>
      <c r="D1033" s="48" t="s">
        <v>937</v>
      </c>
      <c r="E1033" s="112">
        <v>400000000</v>
      </c>
      <c r="F1033" s="242">
        <f>F1034</f>
        <v>399250000</v>
      </c>
      <c r="G1033" s="363">
        <f>F1033/E1033*100</f>
        <v>99.8125</v>
      </c>
      <c r="H1033" s="246">
        <f>H1034</f>
        <v>100</v>
      </c>
      <c r="I1033" s="111"/>
    </row>
    <row r="1034" spans="3:9" ht="16.5" hidden="1" customHeight="1" x14ac:dyDescent="0.25">
      <c r="C1034" s="226"/>
      <c r="D1034" s="32" t="s">
        <v>938</v>
      </c>
      <c r="E1034" s="172">
        <v>400000000</v>
      </c>
      <c r="F1034" s="243">
        <v>399250000</v>
      </c>
      <c r="G1034" s="364">
        <f>F1034/E1034*100</f>
        <v>99.8125</v>
      </c>
      <c r="H1034" s="247">
        <v>100</v>
      </c>
      <c r="I1034" s="111"/>
    </row>
    <row r="1035" spans="3:9" ht="16.5" hidden="1" customHeight="1" x14ac:dyDescent="0.25">
      <c r="C1035" s="226"/>
      <c r="D1035" s="32"/>
      <c r="E1035" s="172"/>
      <c r="F1035" s="108"/>
      <c r="G1035" s="117"/>
      <c r="H1035" s="117"/>
      <c r="I1035" s="111"/>
    </row>
    <row r="1036" spans="3:9" ht="16.5" hidden="1" customHeight="1" x14ac:dyDescent="0.25">
      <c r="C1036" s="226"/>
      <c r="D1036" s="48" t="s">
        <v>939</v>
      </c>
      <c r="E1036" s="112">
        <v>7700000000</v>
      </c>
      <c r="F1036" s="242">
        <f>F1037</f>
        <v>7548828070</v>
      </c>
      <c r="G1036" s="363">
        <f t="shared" ref="G1036:G1052" si="62">F1036/E1036*100</f>
        <v>98.036728181818177</v>
      </c>
      <c r="H1036" s="246">
        <f>H1054</f>
        <v>100</v>
      </c>
      <c r="I1036" s="111"/>
    </row>
    <row r="1037" spans="3:9" s="115" customFormat="1" ht="16.5" hidden="1" customHeight="1" x14ac:dyDescent="0.25">
      <c r="C1037" s="222"/>
      <c r="D1037" s="48" t="s">
        <v>770</v>
      </c>
      <c r="E1037" s="112">
        <v>7700000000</v>
      </c>
      <c r="F1037" s="242">
        <f>F1038+F1042+F1044+F1047+F1051</f>
        <v>7548828070</v>
      </c>
      <c r="G1037" s="363">
        <f t="shared" si="62"/>
        <v>98.036728181818177</v>
      </c>
      <c r="H1037" s="246">
        <f>(H1038+H1042+H1044+H1047+H1051)/5</f>
        <v>97.533333333333331</v>
      </c>
      <c r="I1037" s="121"/>
    </row>
    <row r="1038" spans="3:9" ht="16.5" hidden="1" customHeight="1" x14ac:dyDescent="0.25">
      <c r="C1038" s="226"/>
      <c r="D1038" s="48" t="s">
        <v>940</v>
      </c>
      <c r="E1038" s="112">
        <v>2750000000</v>
      </c>
      <c r="F1038" s="242">
        <f>SUM(F1039:F1041)</f>
        <v>2681566870</v>
      </c>
      <c r="G1038" s="363">
        <f t="shared" si="62"/>
        <v>97.51152254545454</v>
      </c>
      <c r="H1038" s="246">
        <f>(H1039+H1040+H1041)/3</f>
        <v>97.666666666666671</v>
      </c>
      <c r="I1038" s="111"/>
    </row>
    <row r="1039" spans="3:9" ht="16.5" hidden="1" customHeight="1" x14ac:dyDescent="0.25">
      <c r="C1039" s="226"/>
      <c r="D1039" s="32" t="s">
        <v>941</v>
      </c>
      <c r="E1039" s="172">
        <v>750000000</v>
      </c>
      <c r="F1039" s="243">
        <v>729466870</v>
      </c>
      <c r="G1039" s="364">
        <f t="shared" si="62"/>
        <v>97.26224933333333</v>
      </c>
      <c r="H1039" s="247">
        <v>98</v>
      </c>
      <c r="I1039" s="111"/>
    </row>
    <row r="1040" spans="3:9" ht="16.5" hidden="1" customHeight="1" x14ac:dyDescent="0.25">
      <c r="C1040" s="226"/>
      <c r="D1040" s="32" t="s">
        <v>942</v>
      </c>
      <c r="E1040" s="172">
        <v>500000000</v>
      </c>
      <c r="F1040" s="243">
        <v>463150000</v>
      </c>
      <c r="G1040" s="364">
        <f t="shared" si="62"/>
        <v>92.63</v>
      </c>
      <c r="H1040" s="247">
        <v>95</v>
      </c>
      <c r="I1040" s="111"/>
    </row>
    <row r="1041" spans="3:9" ht="16.5" hidden="1" customHeight="1" x14ac:dyDescent="0.25">
      <c r="C1041" s="226"/>
      <c r="D1041" s="32" t="s">
        <v>943</v>
      </c>
      <c r="E1041" s="172">
        <v>1500000000</v>
      </c>
      <c r="F1041" s="243">
        <v>1488950000</v>
      </c>
      <c r="G1041" s="364">
        <f t="shared" si="62"/>
        <v>99.263333333333335</v>
      </c>
      <c r="H1041" s="247">
        <v>100</v>
      </c>
      <c r="I1041" s="111"/>
    </row>
    <row r="1042" spans="3:9" ht="16.5" hidden="1" customHeight="1" x14ac:dyDescent="0.25">
      <c r="C1042" s="226"/>
      <c r="D1042" s="48" t="s">
        <v>944</v>
      </c>
      <c r="E1042" s="112">
        <v>500000000</v>
      </c>
      <c r="F1042" s="242">
        <f>F1043</f>
        <v>436702700</v>
      </c>
      <c r="G1042" s="363">
        <f t="shared" si="62"/>
        <v>87.340540000000004</v>
      </c>
      <c r="H1042" s="246">
        <f>H1043</f>
        <v>90</v>
      </c>
      <c r="I1042" s="111"/>
    </row>
    <row r="1043" spans="3:9" ht="16.5" hidden="1" customHeight="1" x14ac:dyDescent="0.25">
      <c r="C1043" s="226"/>
      <c r="D1043" s="32" t="s">
        <v>945</v>
      </c>
      <c r="E1043" s="172">
        <v>500000000</v>
      </c>
      <c r="F1043" s="243">
        <v>436702700</v>
      </c>
      <c r="G1043" s="364">
        <f t="shared" si="62"/>
        <v>87.340540000000004</v>
      </c>
      <c r="H1043" s="247">
        <v>90</v>
      </c>
      <c r="I1043" s="111"/>
    </row>
    <row r="1044" spans="3:9" ht="16.5" hidden="1" customHeight="1" x14ac:dyDescent="0.25">
      <c r="C1044" s="226"/>
      <c r="D1044" s="48" t="s">
        <v>496</v>
      </c>
      <c r="E1044" s="112">
        <v>900000000</v>
      </c>
      <c r="F1044" s="242">
        <f>SUM(F1045:F1046)</f>
        <v>893230500</v>
      </c>
      <c r="G1044" s="363">
        <f t="shared" si="62"/>
        <v>99.247833333333332</v>
      </c>
      <c r="H1044" s="246">
        <f>(H1045+H1046)/2</f>
        <v>100</v>
      </c>
      <c r="I1044" s="111"/>
    </row>
    <row r="1045" spans="3:9" ht="16.5" hidden="1" customHeight="1" x14ac:dyDescent="0.25">
      <c r="C1045" s="226"/>
      <c r="D1045" s="32" t="s">
        <v>498</v>
      </c>
      <c r="E1045" s="172">
        <v>500000000</v>
      </c>
      <c r="F1045" s="243">
        <v>494330500</v>
      </c>
      <c r="G1045" s="364">
        <f t="shared" si="62"/>
        <v>98.866100000000003</v>
      </c>
      <c r="H1045" s="247">
        <v>100</v>
      </c>
      <c r="I1045" s="111"/>
    </row>
    <row r="1046" spans="3:9" ht="25.5" hidden="1" customHeight="1" x14ac:dyDescent="0.25">
      <c r="C1046" s="226"/>
      <c r="D1046" s="119" t="s">
        <v>946</v>
      </c>
      <c r="E1046" s="172">
        <v>400000000</v>
      </c>
      <c r="F1046" s="243">
        <v>398900000</v>
      </c>
      <c r="G1046" s="364">
        <f t="shared" si="62"/>
        <v>99.724999999999994</v>
      </c>
      <c r="H1046" s="247">
        <v>100</v>
      </c>
      <c r="I1046" s="111"/>
    </row>
    <row r="1047" spans="3:9" ht="16.5" hidden="1" customHeight="1" x14ac:dyDescent="0.25">
      <c r="C1047" s="389"/>
      <c r="D1047" s="48" t="s">
        <v>758</v>
      </c>
      <c r="E1047" s="112">
        <v>3300000000</v>
      </c>
      <c r="F1047" s="242">
        <f>SUM(F1048:F1050)</f>
        <v>3288008000</v>
      </c>
      <c r="G1047" s="363">
        <f t="shared" si="62"/>
        <v>99.636606060606056</v>
      </c>
      <c r="H1047" s="246">
        <f>(H1048+H1049+H1050)/3</f>
        <v>100</v>
      </c>
      <c r="I1047" s="111"/>
    </row>
    <row r="1048" spans="3:9" ht="16.5" hidden="1" customHeight="1" x14ac:dyDescent="0.25">
      <c r="C1048" s="226"/>
      <c r="D1048" s="32" t="s">
        <v>947</v>
      </c>
      <c r="E1048" s="172">
        <v>300000000</v>
      </c>
      <c r="F1048" s="243">
        <v>299550000</v>
      </c>
      <c r="G1048" s="364">
        <f t="shared" si="62"/>
        <v>99.850000000000009</v>
      </c>
      <c r="H1048" s="247">
        <v>100</v>
      </c>
      <c r="I1048" s="111"/>
    </row>
    <row r="1049" spans="3:9" ht="16.5" hidden="1" customHeight="1" x14ac:dyDescent="0.25">
      <c r="C1049" s="226"/>
      <c r="D1049" s="32" t="s">
        <v>948</v>
      </c>
      <c r="E1049" s="172">
        <v>1500000000</v>
      </c>
      <c r="F1049" s="243">
        <v>1497620000</v>
      </c>
      <c r="G1049" s="364">
        <f t="shared" si="62"/>
        <v>99.841333333333338</v>
      </c>
      <c r="H1049" s="247">
        <v>100</v>
      </c>
      <c r="I1049" s="111"/>
    </row>
    <row r="1050" spans="3:9" ht="16.5" hidden="1" customHeight="1" x14ac:dyDescent="0.25">
      <c r="C1050" s="226"/>
      <c r="D1050" s="32" t="s">
        <v>518</v>
      </c>
      <c r="E1050" s="172">
        <v>1500000000</v>
      </c>
      <c r="F1050" s="243">
        <v>1490838000</v>
      </c>
      <c r="G1050" s="364">
        <f t="shared" si="62"/>
        <v>99.389200000000002</v>
      </c>
      <c r="H1050" s="247">
        <v>100</v>
      </c>
      <c r="I1050" s="111"/>
    </row>
    <row r="1051" spans="3:9" ht="16.5" hidden="1" customHeight="1" x14ac:dyDescent="0.25">
      <c r="C1051" s="226"/>
      <c r="D1051" s="48" t="s">
        <v>949</v>
      </c>
      <c r="E1051" s="112">
        <v>250000000</v>
      </c>
      <c r="F1051" s="242">
        <f>F1052</f>
        <v>249320000</v>
      </c>
      <c r="G1051" s="363">
        <f t="shared" si="62"/>
        <v>99.728000000000009</v>
      </c>
      <c r="H1051" s="246">
        <f>H1052</f>
        <v>100</v>
      </c>
      <c r="I1051" s="111"/>
    </row>
    <row r="1052" spans="3:9" ht="16.5" hidden="1" customHeight="1" x14ac:dyDescent="0.25">
      <c r="C1052" s="226"/>
      <c r="D1052" s="32" t="s">
        <v>950</v>
      </c>
      <c r="E1052" s="172">
        <v>250000000</v>
      </c>
      <c r="F1052" s="243">
        <v>249320000</v>
      </c>
      <c r="G1052" s="364">
        <f t="shared" si="62"/>
        <v>99.728000000000009</v>
      </c>
      <c r="H1052" s="247">
        <v>100</v>
      </c>
      <c r="I1052" s="111"/>
    </row>
    <row r="1053" spans="3:9" ht="16.5" hidden="1" customHeight="1" x14ac:dyDescent="0.25">
      <c r="C1053" s="226"/>
      <c r="D1053" s="32"/>
      <c r="E1053" s="172"/>
      <c r="F1053" s="242"/>
      <c r="G1053" s="364"/>
      <c r="H1053" s="247"/>
      <c r="I1053" s="111"/>
    </row>
    <row r="1054" spans="3:9" s="115" customFormat="1" ht="16.5" hidden="1" customHeight="1" x14ac:dyDescent="0.25">
      <c r="C1054" s="222"/>
      <c r="D1054" s="48" t="s">
        <v>765</v>
      </c>
      <c r="E1054" s="112">
        <v>900000000</v>
      </c>
      <c r="F1054" s="242">
        <f>F1055</f>
        <v>898764000</v>
      </c>
      <c r="G1054" s="363">
        <f>F1054/E1054*100</f>
        <v>99.862666666666669</v>
      </c>
      <c r="H1054" s="246">
        <f>H1055</f>
        <v>100</v>
      </c>
      <c r="I1054" s="121"/>
    </row>
    <row r="1055" spans="3:9" ht="16.5" hidden="1" customHeight="1" x14ac:dyDescent="0.25">
      <c r="C1055" s="226"/>
      <c r="D1055" s="48" t="s">
        <v>418</v>
      </c>
      <c r="E1055" s="112">
        <v>900000000</v>
      </c>
      <c r="F1055" s="242">
        <f>SUM(F1056:F1057)</f>
        <v>898764000</v>
      </c>
      <c r="G1055" s="363">
        <f>F1055/E1055*100</f>
        <v>99.862666666666669</v>
      </c>
      <c r="H1055" s="246">
        <f>H1056</f>
        <v>100</v>
      </c>
      <c r="I1055" s="111"/>
    </row>
    <row r="1056" spans="3:9" ht="16.5" hidden="1" customHeight="1" x14ac:dyDescent="0.25">
      <c r="C1056" s="226"/>
      <c r="D1056" s="32" t="s">
        <v>951</v>
      </c>
      <c r="E1056" s="172">
        <v>500000000</v>
      </c>
      <c r="F1056" s="243">
        <v>498764000</v>
      </c>
      <c r="G1056" s="364">
        <f>F1056/E1056*100</f>
        <v>99.752799999999993</v>
      </c>
      <c r="H1056" s="247">
        <v>100</v>
      </c>
      <c r="I1056" s="111"/>
    </row>
    <row r="1057" spans="3:9" ht="16.5" hidden="1" customHeight="1" x14ac:dyDescent="0.25">
      <c r="C1057" s="226"/>
      <c r="D1057" s="32" t="s">
        <v>951</v>
      </c>
      <c r="E1057" s="172">
        <v>400000000</v>
      </c>
      <c r="F1057" s="243">
        <v>400000000</v>
      </c>
      <c r="G1057" s="364">
        <f>F1057/E1057*100</f>
        <v>100</v>
      </c>
      <c r="H1057" s="247">
        <f>F1057/E1057*G1057</f>
        <v>100</v>
      </c>
      <c r="I1057" s="111"/>
    </row>
    <row r="1058" spans="3:9" ht="16.5" hidden="1" customHeight="1" x14ac:dyDescent="0.25">
      <c r="C1058" s="226"/>
      <c r="D1058" s="32"/>
      <c r="E1058" s="172"/>
      <c r="F1058" s="108"/>
      <c r="G1058" s="117"/>
      <c r="H1058" s="117"/>
      <c r="I1058" s="111"/>
    </row>
    <row r="1059" spans="3:9" ht="16.5" hidden="1" customHeight="1" x14ac:dyDescent="0.25">
      <c r="C1059" s="226"/>
      <c r="D1059" s="48" t="s">
        <v>952</v>
      </c>
      <c r="E1059" s="112">
        <v>33581234320</v>
      </c>
      <c r="F1059" s="108"/>
      <c r="G1059" s="117">
        <f t="shared" ref="G1059:G1070" si="63">F1059/E1059*100</f>
        <v>0</v>
      </c>
      <c r="H1059" s="117"/>
      <c r="I1059" s="111"/>
    </row>
    <row r="1060" spans="3:9" ht="16.5" hidden="1" customHeight="1" x14ac:dyDescent="0.25">
      <c r="C1060" s="226"/>
      <c r="D1060" s="48" t="s">
        <v>953</v>
      </c>
      <c r="E1060" s="112">
        <v>1840802080</v>
      </c>
      <c r="F1060" s="113">
        <f>F1061</f>
        <v>1672270171</v>
      </c>
      <c r="G1060" s="114">
        <f t="shared" si="63"/>
        <v>90.844648056894854</v>
      </c>
      <c r="H1060" s="114">
        <f>H1061</f>
        <v>90</v>
      </c>
      <c r="I1060" s="111"/>
    </row>
    <row r="1061" spans="3:9" s="115" customFormat="1" ht="16.5" hidden="1" customHeight="1" x14ac:dyDescent="0.25">
      <c r="C1061" s="222"/>
      <c r="D1061" s="48" t="s">
        <v>630</v>
      </c>
      <c r="E1061" s="112">
        <v>1840802080</v>
      </c>
      <c r="F1061" s="242">
        <f>F1062+F1065+F1067+F1069</f>
        <v>1672270171</v>
      </c>
      <c r="G1061" s="363">
        <f t="shared" si="63"/>
        <v>90.844648056894854</v>
      </c>
      <c r="H1061" s="246">
        <f>(H1062+H1065+H1067+H1069)/4</f>
        <v>90</v>
      </c>
      <c r="I1061" s="121"/>
    </row>
    <row r="1062" spans="3:9" ht="16.5" hidden="1" customHeight="1" x14ac:dyDescent="0.25">
      <c r="C1062" s="226"/>
      <c r="D1062" s="48" t="s">
        <v>954</v>
      </c>
      <c r="E1062" s="112">
        <v>840802080</v>
      </c>
      <c r="F1062" s="242">
        <f>SUM(F1063:F1064)</f>
        <v>833208339</v>
      </c>
      <c r="G1062" s="363">
        <f t="shared" si="63"/>
        <v>99.096845597717831</v>
      </c>
      <c r="H1062" s="246">
        <v>100</v>
      </c>
      <c r="I1062" s="111"/>
    </row>
    <row r="1063" spans="3:9" ht="16.5" hidden="1" customHeight="1" x14ac:dyDescent="0.25">
      <c r="C1063" s="226"/>
      <c r="D1063" s="119" t="s">
        <v>955</v>
      </c>
      <c r="E1063" s="172">
        <v>690802080</v>
      </c>
      <c r="F1063" s="243">
        <v>683401550</v>
      </c>
      <c r="G1063" s="364">
        <f t="shared" si="63"/>
        <v>98.928704731172772</v>
      </c>
      <c r="H1063" s="247">
        <v>100</v>
      </c>
      <c r="I1063" s="111"/>
    </row>
    <row r="1064" spans="3:9" ht="16.5" hidden="1" customHeight="1" x14ac:dyDescent="0.25">
      <c r="C1064" s="226"/>
      <c r="D1064" s="32" t="s">
        <v>956</v>
      </c>
      <c r="E1064" s="172">
        <v>150000000</v>
      </c>
      <c r="F1064" s="243">
        <v>149806789</v>
      </c>
      <c r="G1064" s="364">
        <f t="shared" si="63"/>
        <v>99.871192666666659</v>
      </c>
      <c r="H1064" s="247">
        <v>100</v>
      </c>
      <c r="I1064" s="111"/>
    </row>
    <row r="1065" spans="3:9" ht="16.5" hidden="1" customHeight="1" x14ac:dyDescent="0.25">
      <c r="C1065" s="226"/>
      <c r="D1065" s="48" t="s">
        <v>957</v>
      </c>
      <c r="E1065" s="112">
        <v>300000000</v>
      </c>
      <c r="F1065" s="242">
        <f>F1066</f>
        <v>287433000</v>
      </c>
      <c r="G1065" s="363">
        <f t="shared" si="63"/>
        <v>95.811000000000007</v>
      </c>
      <c r="H1065" s="246">
        <f>H1066</f>
        <v>95</v>
      </c>
      <c r="I1065" s="111"/>
    </row>
    <row r="1066" spans="3:9" ht="16.5" hidden="1" customHeight="1" x14ac:dyDescent="0.25">
      <c r="C1066" s="226"/>
      <c r="D1066" s="32" t="s">
        <v>958</v>
      </c>
      <c r="E1066" s="172">
        <v>300000000</v>
      </c>
      <c r="F1066" s="243">
        <v>287433000</v>
      </c>
      <c r="G1066" s="364">
        <f t="shared" si="63"/>
        <v>95.811000000000007</v>
      </c>
      <c r="H1066" s="247">
        <v>95</v>
      </c>
      <c r="I1066" s="111"/>
    </row>
    <row r="1067" spans="3:9" ht="16.5" hidden="1" customHeight="1" x14ac:dyDescent="0.25">
      <c r="C1067" s="226"/>
      <c r="D1067" s="48" t="s">
        <v>959</v>
      </c>
      <c r="E1067" s="112">
        <v>400000000</v>
      </c>
      <c r="F1067" s="242">
        <f>F1068</f>
        <v>268251400</v>
      </c>
      <c r="G1067" s="363">
        <f t="shared" si="63"/>
        <v>67.062849999999997</v>
      </c>
      <c r="H1067" s="246">
        <f>H1068</f>
        <v>70</v>
      </c>
      <c r="I1067" s="111"/>
    </row>
    <row r="1068" spans="3:9" ht="16.5" hidden="1" customHeight="1" x14ac:dyDescent="0.25">
      <c r="C1068" s="226"/>
      <c r="D1068" s="32" t="s">
        <v>960</v>
      </c>
      <c r="E1068" s="172">
        <v>400000000</v>
      </c>
      <c r="F1068" s="243">
        <v>268251400</v>
      </c>
      <c r="G1068" s="364">
        <f t="shared" si="63"/>
        <v>67.062849999999997</v>
      </c>
      <c r="H1068" s="247">
        <v>70</v>
      </c>
      <c r="I1068" s="111"/>
    </row>
    <row r="1069" spans="3:9" ht="16.5" hidden="1" customHeight="1" x14ac:dyDescent="0.25">
      <c r="C1069" s="226"/>
      <c r="D1069" s="48" t="s">
        <v>961</v>
      </c>
      <c r="E1069" s="112">
        <v>300000000</v>
      </c>
      <c r="F1069" s="242">
        <f>F1070</f>
        <v>283377432</v>
      </c>
      <c r="G1069" s="363">
        <f t="shared" si="63"/>
        <v>94.459143999999995</v>
      </c>
      <c r="H1069" s="246">
        <f>H1070</f>
        <v>95</v>
      </c>
      <c r="I1069" s="111"/>
    </row>
    <row r="1070" spans="3:9" ht="22.5" hidden="1" customHeight="1" x14ac:dyDescent="0.25">
      <c r="C1070" s="226"/>
      <c r="D1070" s="119" t="s">
        <v>962</v>
      </c>
      <c r="E1070" s="172">
        <v>300000000</v>
      </c>
      <c r="F1070" s="243">
        <v>283377432</v>
      </c>
      <c r="G1070" s="364">
        <f t="shared" si="63"/>
        <v>94.459143999999995</v>
      </c>
      <c r="H1070" s="247">
        <v>95</v>
      </c>
      <c r="I1070" s="111"/>
    </row>
    <row r="1071" spans="3:9" ht="16.5" hidden="1" customHeight="1" x14ac:dyDescent="0.25">
      <c r="C1071" s="226"/>
      <c r="D1071" s="32"/>
      <c r="E1071" s="172"/>
      <c r="F1071" s="108"/>
      <c r="G1071" s="117"/>
      <c r="H1071" s="117"/>
      <c r="I1071" s="111"/>
    </row>
    <row r="1072" spans="3:9" ht="28.5" hidden="1" customHeight="1" x14ac:dyDescent="0.25">
      <c r="C1072" s="226"/>
      <c r="D1072" s="217" t="s">
        <v>963</v>
      </c>
      <c r="E1072" s="112">
        <v>31740432240</v>
      </c>
      <c r="F1072" s="108"/>
      <c r="G1072" s="117"/>
      <c r="H1072" s="117"/>
      <c r="I1072" s="111"/>
    </row>
    <row r="1073" spans="3:9" ht="16.5" hidden="1" customHeight="1" x14ac:dyDescent="0.25">
      <c r="C1073" s="226"/>
      <c r="D1073" s="48" t="s">
        <v>964</v>
      </c>
      <c r="E1073" s="112">
        <v>31240432240</v>
      </c>
      <c r="F1073" s="242">
        <f>F1074</f>
        <v>17254203120</v>
      </c>
      <c r="G1073" s="363">
        <f t="shared" ref="G1073:G1081" si="64">F1073/E1073*100</f>
        <v>55.23035977046392</v>
      </c>
      <c r="H1073" s="246">
        <f>H1074</f>
        <v>105.87307716427632</v>
      </c>
      <c r="I1073" s="111"/>
    </row>
    <row r="1074" spans="3:9" ht="16.5" hidden="1" customHeight="1" x14ac:dyDescent="0.25">
      <c r="C1074" s="226"/>
      <c r="D1074" s="48" t="s">
        <v>965</v>
      </c>
      <c r="E1074" s="112">
        <v>31240432240</v>
      </c>
      <c r="F1074" s="242">
        <f>SUM(F1075:F1081)</f>
        <v>17254203120</v>
      </c>
      <c r="G1074" s="363">
        <f t="shared" si="64"/>
        <v>55.23035977046392</v>
      </c>
      <c r="H1074" s="246">
        <f>(H1075+H1076+H1077+H1078+H1079+H1080+H1081)/7</f>
        <v>105.87307716427632</v>
      </c>
      <c r="I1074" s="111"/>
    </row>
    <row r="1075" spans="3:9" ht="16.5" hidden="1" customHeight="1" x14ac:dyDescent="0.25">
      <c r="C1075" s="226"/>
      <c r="D1075" s="32" t="s">
        <v>966</v>
      </c>
      <c r="E1075" s="172">
        <v>12500000000</v>
      </c>
      <c r="F1075" s="243">
        <v>1000000000</v>
      </c>
      <c r="G1075" s="364">
        <f t="shared" si="64"/>
        <v>8</v>
      </c>
      <c r="H1075" s="247">
        <f>F1075/E1075*G1075</f>
        <v>0.64</v>
      </c>
      <c r="I1075" s="111"/>
    </row>
    <row r="1076" spans="3:9" ht="16.5" hidden="1" customHeight="1" x14ac:dyDescent="0.25">
      <c r="C1076" s="226"/>
      <c r="D1076" s="32" t="s">
        <v>967</v>
      </c>
      <c r="E1076" s="172">
        <v>1000000000</v>
      </c>
      <c r="F1076" s="243"/>
      <c r="G1076" s="364">
        <f t="shared" si="64"/>
        <v>0</v>
      </c>
      <c r="H1076" s="247">
        <f>F1076/E1076*G1076</f>
        <v>0</v>
      </c>
      <c r="I1076" s="111"/>
    </row>
    <row r="1077" spans="3:9" ht="16.5" hidden="1" customHeight="1" x14ac:dyDescent="0.25">
      <c r="C1077" s="226"/>
      <c r="D1077" s="32" t="s">
        <v>968</v>
      </c>
      <c r="E1077" s="172">
        <v>2760026000</v>
      </c>
      <c r="F1077" s="243">
        <v>3570203120</v>
      </c>
      <c r="G1077" s="364">
        <f t="shared" si="64"/>
        <v>129.35396695538375</v>
      </c>
      <c r="H1077" s="247">
        <v>92</v>
      </c>
      <c r="I1077" s="111"/>
    </row>
    <row r="1078" spans="3:9" ht="16.5" hidden="1" customHeight="1" x14ac:dyDescent="0.25">
      <c r="C1078" s="226"/>
      <c r="D1078" s="32" t="s">
        <v>969</v>
      </c>
      <c r="E1078" s="172">
        <v>922406240</v>
      </c>
      <c r="F1078" s="243">
        <v>1500000000</v>
      </c>
      <c r="G1078" s="364">
        <f t="shared" si="64"/>
        <v>162.61815401422263</v>
      </c>
      <c r="H1078" s="247">
        <f>F1078/E1078*G1078</f>
        <v>264.4466401499343</v>
      </c>
      <c r="I1078" s="111"/>
    </row>
    <row r="1079" spans="3:9" ht="16.5" hidden="1" customHeight="1" x14ac:dyDescent="0.25">
      <c r="C1079" s="226"/>
      <c r="D1079" s="32" t="s">
        <v>970</v>
      </c>
      <c r="E1079" s="172">
        <v>1500000000</v>
      </c>
      <c r="F1079" s="243">
        <v>2400000000</v>
      </c>
      <c r="G1079" s="364">
        <f t="shared" si="64"/>
        <v>160</v>
      </c>
      <c r="H1079" s="247">
        <f>F1079/E1079*G1079</f>
        <v>256</v>
      </c>
      <c r="I1079" s="111"/>
    </row>
    <row r="1080" spans="3:9" ht="16.5" hidden="1" customHeight="1" x14ac:dyDescent="0.25">
      <c r="C1080" s="226"/>
      <c r="D1080" s="32" t="s">
        <v>971</v>
      </c>
      <c r="E1080" s="172">
        <v>2400000000</v>
      </c>
      <c r="F1080" s="243">
        <v>4626000000</v>
      </c>
      <c r="G1080" s="364">
        <f t="shared" si="64"/>
        <v>192.75</v>
      </c>
      <c r="H1080" s="247">
        <v>80</v>
      </c>
      <c r="I1080" s="111"/>
    </row>
    <row r="1081" spans="3:9" ht="16.5" hidden="1" customHeight="1" x14ac:dyDescent="0.25">
      <c r="C1081" s="226"/>
      <c r="D1081" s="32" t="s">
        <v>972</v>
      </c>
      <c r="E1081" s="172">
        <v>6000000000</v>
      </c>
      <c r="F1081" s="243">
        <v>4158000000</v>
      </c>
      <c r="G1081" s="364">
        <f t="shared" si="64"/>
        <v>69.3</v>
      </c>
      <c r="H1081" s="247">
        <f>F1081/E1081*G1081</f>
        <v>48.024899999999995</v>
      </c>
      <c r="I1081" s="111"/>
    </row>
    <row r="1082" spans="3:9" ht="16.5" hidden="1" customHeight="1" x14ac:dyDescent="0.25">
      <c r="C1082" s="226"/>
      <c r="D1082" s="32" t="s">
        <v>973</v>
      </c>
      <c r="E1082" s="172">
        <v>4158000000</v>
      </c>
      <c r="F1082" s="108"/>
      <c r="G1082" s="117"/>
      <c r="H1082" s="117"/>
      <c r="I1082" s="111"/>
    </row>
    <row r="1083" spans="3:9" s="115" customFormat="1" ht="16.5" hidden="1" customHeight="1" x14ac:dyDescent="0.25">
      <c r="C1083" s="222"/>
      <c r="D1083" s="48" t="s">
        <v>624</v>
      </c>
      <c r="E1083" s="112">
        <v>500000000</v>
      </c>
      <c r="F1083" s="242">
        <f>F1084</f>
        <v>487375000</v>
      </c>
      <c r="G1083" s="363">
        <f>F1083/E1083*100</f>
        <v>97.474999999999994</v>
      </c>
      <c r="H1083" s="246">
        <f>H1084</f>
        <v>100</v>
      </c>
      <c r="I1083" s="121"/>
    </row>
    <row r="1084" spans="3:9" ht="24" hidden="1" customHeight="1" x14ac:dyDescent="0.25">
      <c r="C1084" s="226"/>
      <c r="D1084" s="217" t="s">
        <v>789</v>
      </c>
      <c r="E1084" s="112">
        <v>500000000</v>
      </c>
      <c r="F1084" s="242">
        <f>F1085</f>
        <v>487375000</v>
      </c>
      <c r="G1084" s="363">
        <f>F1084/E1084*100</f>
        <v>97.474999999999994</v>
      </c>
      <c r="H1084" s="246">
        <f>H1085</f>
        <v>100</v>
      </c>
      <c r="I1084" s="111"/>
    </row>
    <row r="1085" spans="3:9" ht="16.5" hidden="1" customHeight="1" x14ac:dyDescent="0.25">
      <c r="C1085" s="226"/>
      <c r="D1085" s="32" t="s">
        <v>974</v>
      </c>
      <c r="E1085" s="172">
        <v>500000000</v>
      </c>
      <c r="F1085" s="243">
        <v>487375000</v>
      </c>
      <c r="G1085" s="364">
        <f>F1085/E1085*100</f>
        <v>97.474999999999994</v>
      </c>
      <c r="H1085" s="247">
        <v>100</v>
      </c>
      <c r="I1085" s="111"/>
    </row>
    <row r="1086" spans="3:9" ht="16.5" hidden="1" customHeight="1" x14ac:dyDescent="0.25">
      <c r="C1086" s="109"/>
      <c r="D1086" s="111"/>
      <c r="E1086" s="116"/>
      <c r="F1086" s="108"/>
      <c r="G1086" s="117"/>
      <c r="H1086" s="117"/>
      <c r="I1086" s="111"/>
    </row>
    <row r="1087" spans="3:9" s="115" customFormat="1" ht="16.5" customHeight="1" x14ac:dyDescent="0.25">
      <c r="C1087" s="222" t="s">
        <v>975</v>
      </c>
      <c r="D1087" s="241" t="s">
        <v>976</v>
      </c>
      <c r="E1087" s="195">
        <f>+E1088+E1131+E1136+E1163+E1168+E1176+E1185+E1201+E1214+E1227+E1241+E1245+E1254+E1258+E1262+E1267+E1271+E1277+E1282+E1293+E1298</f>
        <v>103583972000</v>
      </c>
      <c r="F1087" s="113">
        <f>+F1088+F1129+F1131+F1136+F1161+F1163+F1168+F1176+F1185+F1201+F1214+F1227+F1241+F1245+F1254+F1258+F1262+F1267+F1271+F1277+F1282+F1292+F1298</f>
        <v>83125535297</v>
      </c>
      <c r="G1087" s="114">
        <f>+F1087/E1087*100</f>
        <v>80.249418604067429</v>
      </c>
      <c r="H1087" s="114">
        <f>(H1088+H1129+H1131+H1136+H1161+H1163+H1168+H1176+H1185+H1201+H1214+H1227+H1241+H1245+H1254+H1258+H1262+H1267+H1271+H1277+H1281+H1293+H1298)/23</f>
        <v>85.82154316995225</v>
      </c>
      <c r="I1087" s="121"/>
    </row>
    <row r="1088" spans="3:9" ht="16.5" hidden="1" customHeight="1" x14ac:dyDescent="0.25">
      <c r="C1088" s="226"/>
      <c r="D1088" s="48" t="s">
        <v>977</v>
      </c>
      <c r="E1088" s="281">
        <f>+E1089+E1100+E1111+E1120+E1124</f>
        <v>18791371600</v>
      </c>
      <c r="F1088" s="113">
        <f>+F1089+F1100+F1111+F1120+F1124</f>
        <v>18267728400</v>
      </c>
      <c r="G1088" s="114">
        <f>+F1088/E1088*100</f>
        <v>97.213384892032039</v>
      </c>
      <c r="H1088" s="114">
        <f>(H1089+H1100+H1111+H1120+H1124)/5</f>
        <v>96.224999999999994</v>
      </c>
      <c r="I1088" s="111"/>
    </row>
    <row r="1089" spans="3:9" s="115" customFormat="1" ht="22.5" hidden="1" customHeight="1" x14ac:dyDescent="0.2">
      <c r="C1089" s="222"/>
      <c r="D1089" s="391" t="s">
        <v>978</v>
      </c>
      <c r="E1089" s="392">
        <f>E1090+E1091+E1092+E1093+E1094+E1095+E1096+E1097+E1098+E1099</f>
        <v>2721700000</v>
      </c>
      <c r="F1089" s="392">
        <f>SUM(F1090:F1098)</f>
        <v>2715407000</v>
      </c>
      <c r="G1089" s="393">
        <f>SUM(G1090:G1099)/10</f>
        <v>99.859514285714283</v>
      </c>
      <c r="H1089" s="566">
        <v>100</v>
      </c>
      <c r="I1089" s="121"/>
    </row>
    <row r="1090" spans="3:9" ht="16.5" hidden="1" customHeight="1" x14ac:dyDescent="0.2">
      <c r="C1090" s="226"/>
      <c r="D1090" s="394" t="s">
        <v>979</v>
      </c>
      <c r="E1090" s="395">
        <v>300000000</v>
      </c>
      <c r="F1090" s="395">
        <v>299256000</v>
      </c>
      <c r="G1090" s="343">
        <f t="shared" ref="G1090:G1124" si="65">+F1090/E1090*100</f>
        <v>99.751999999999995</v>
      </c>
      <c r="H1090" s="566">
        <v>100</v>
      </c>
      <c r="I1090" s="111"/>
    </row>
    <row r="1091" spans="3:9" ht="16.5" hidden="1" customHeight="1" x14ac:dyDescent="0.2">
      <c r="C1091" s="226"/>
      <c r="D1091" s="394" t="s">
        <v>980</v>
      </c>
      <c r="E1091" s="396">
        <v>270000000</v>
      </c>
      <c r="F1091" s="395">
        <v>270000000</v>
      </c>
      <c r="G1091" s="343">
        <f t="shared" si="65"/>
        <v>100</v>
      </c>
      <c r="H1091" s="566">
        <v>100</v>
      </c>
      <c r="I1091" s="111"/>
    </row>
    <row r="1092" spans="3:9" ht="16.5" hidden="1" customHeight="1" x14ac:dyDescent="0.2">
      <c r="C1092" s="226"/>
      <c r="D1092" s="394" t="s">
        <v>981</v>
      </c>
      <c r="E1092" s="396">
        <v>350000000</v>
      </c>
      <c r="F1092" s="395">
        <v>347701000</v>
      </c>
      <c r="G1092" s="343">
        <f t="shared" si="65"/>
        <v>99.343142857142851</v>
      </c>
      <c r="H1092" s="566">
        <v>100</v>
      </c>
      <c r="I1092" s="111"/>
    </row>
    <row r="1093" spans="3:9" ht="16.5" hidden="1" customHeight="1" x14ac:dyDescent="0.2">
      <c r="C1093" s="226"/>
      <c r="D1093" s="394" t="s">
        <v>982</v>
      </c>
      <c r="E1093" s="396">
        <v>100000000</v>
      </c>
      <c r="F1093" s="395">
        <v>99850000</v>
      </c>
      <c r="G1093" s="343">
        <f t="shared" si="65"/>
        <v>99.850000000000009</v>
      </c>
      <c r="H1093" s="566">
        <v>100</v>
      </c>
      <c r="I1093" s="111"/>
    </row>
    <row r="1094" spans="3:9" ht="16.5" hidden="1" customHeight="1" x14ac:dyDescent="0.2">
      <c r="C1094" s="226"/>
      <c r="D1094" s="394" t="s">
        <v>983</v>
      </c>
      <c r="E1094" s="396">
        <v>400000000</v>
      </c>
      <c r="F1094" s="395">
        <v>398600000</v>
      </c>
      <c r="G1094" s="343">
        <f t="shared" si="65"/>
        <v>99.65</v>
      </c>
      <c r="H1094" s="566">
        <v>100</v>
      </c>
      <c r="I1094" s="111"/>
    </row>
    <row r="1095" spans="3:9" ht="16.5" hidden="1" customHeight="1" x14ac:dyDescent="0.2">
      <c r="C1095" s="226"/>
      <c r="D1095" s="394" t="s">
        <v>984</v>
      </c>
      <c r="E1095" s="396">
        <v>200000000</v>
      </c>
      <c r="F1095" s="395">
        <v>200000000</v>
      </c>
      <c r="G1095" s="343">
        <f t="shared" si="65"/>
        <v>100</v>
      </c>
      <c r="H1095" s="566">
        <v>100</v>
      </c>
      <c r="I1095" s="111"/>
    </row>
    <row r="1096" spans="3:9" ht="16.5" hidden="1" customHeight="1" x14ac:dyDescent="0.2">
      <c r="C1096" s="226"/>
      <c r="D1096" s="394" t="s">
        <v>985</v>
      </c>
      <c r="E1096" s="396">
        <v>900000000</v>
      </c>
      <c r="F1096" s="395">
        <v>900000000</v>
      </c>
      <c r="G1096" s="343">
        <f t="shared" si="65"/>
        <v>100</v>
      </c>
      <c r="H1096" s="566">
        <v>100</v>
      </c>
      <c r="I1096" s="111"/>
    </row>
    <row r="1097" spans="3:9" ht="16.5" hidden="1" customHeight="1" x14ac:dyDescent="0.2">
      <c r="C1097" s="226"/>
      <c r="D1097" s="394" t="s">
        <v>986</v>
      </c>
      <c r="E1097" s="396">
        <v>150000000</v>
      </c>
      <c r="F1097" s="395">
        <v>150000000</v>
      </c>
      <c r="G1097" s="343">
        <f t="shared" si="65"/>
        <v>100</v>
      </c>
      <c r="H1097" s="566">
        <v>100</v>
      </c>
      <c r="I1097" s="111"/>
    </row>
    <row r="1098" spans="3:9" ht="16.5" hidden="1" customHeight="1" x14ac:dyDescent="0.2">
      <c r="C1098" s="226"/>
      <c r="D1098" s="394" t="s">
        <v>987</v>
      </c>
      <c r="E1098" s="396">
        <v>50000000</v>
      </c>
      <c r="F1098" s="395">
        <v>50000000</v>
      </c>
      <c r="G1098" s="343">
        <f t="shared" si="65"/>
        <v>100</v>
      </c>
      <c r="H1098" s="566">
        <v>100</v>
      </c>
      <c r="I1098" s="111"/>
    </row>
    <row r="1099" spans="3:9" ht="16.5" hidden="1" customHeight="1" x14ac:dyDescent="0.2">
      <c r="C1099" s="226"/>
      <c r="D1099" s="394" t="s">
        <v>988</v>
      </c>
      <c r="E1099" s="396">
        <v>1700000</v>
      </c>
      <c r="F1099" s="395">
        <v>1700000</v>
      </c>
      <c r="G1099" s="343">
        <f t="shared" si="65"/>
        <v>100</v>
      </c>
      <c r="H1099" s="566">
        <v>100</v>
      </c>
      <c r="I1099" s="111"/>
    </row>
    <row r="1100" spans="3:9" s="115" customFormat="1" ht="16.5" hidden="1" customHeight="1" x14ac:dyDescent="0.2">
      <c r="C1100" s="222"/>
      <c r="D1100" s="391" t="s">
        <v>989</v>
      </c>
      <c r="E1100" s="397">
        <f>E1101+E1102+E1103+E1104+E1105+E1106+E1107+E1108+E1109+E1110</f>
        <v>5128680000</v>
      </c>
      <c r="F1100" s="397">
        <f>SUM(F1101:F1110)</f>
        <v>4643310000</v>
      </c>
      <c r="G1100" s="342">
        <f t="shared" si="65"/>
        <v>90.536161351458858</v>
      </c>
      <c r="H1100" s="393">
        <f>SUM(H1101:H1110)/10</f>
        <v>84</v>
      </c>
      <c r="I1100" s="121"/>
    </row>
    <row r="1101" spans="3:9" s="115" customFormat="1" ht="16.5" hidden="1" customHeight="1" x14ac:dyDescent="0.2">
      <c r="C1101" s="222"/>
      <c r="D1101" s="394" t="s">
        <v>979</v>
      </c>
      <c r="E1101" s="396">
        <v>1500000000</v>
      </c>
      <c r="F1101" s="395">
        <v>1422222000</v>
      </c>
      <c r="G1101" s="343">
        <f t="shared" si="65"/>
        <v>94.814800000000005</v>
      </c>
      <c r="H1101" s="566">
        <v>10</v>
      </c>
      <c r="I1101" s="121"/>
    </row>
    <row r="1102" spans="3:9" ht="16.5" hidden="1" customHeight="1" x14ac:dyDescent="0.2">
      <c r="C1102" s="226"/>
      <c r="D1102" s="394" t="s">
        <v>990</v>
      </c>
      <c r="E1102" s="396">
        <v>300000000</v>
      </c>
      <c r="F1102" s="395">
        <v>299849000</v>
      </c>
      <c r="G1102" s="343">
        <f t="shared" si="65"/>
        <v>99.949666666666673</v>
      </c>
      <c r="H1102" s="566">
        <v>100</v>
      </c>
      <c r="I1102" s="111"/>
    </row>
    <row r="1103" spans="3:9" ht="16.5" hidden="1" customHeight="1" x14ac:dyDescent="0.2">
      <c r="C1103" s="226"/>
      <c r="D1103" s="394" t="s">
        <v>991</v>
      </c>
      <c r="E1103" s="396">
        <v>500000000</v>
      </c>
      <c r="F1103" s="395">
        <v>386579000</v>
      </c>
      <c r="G1103" s="343">
        <f t="shared" si="65"/>
        <v>77.315799999999996</v>
      </c>
      <c r="H1103" s="566">
        <v>70</v>
      </c>
      <c r="I1103" s="111"/>
    </row>
    <row r="1104" spans="3:9" ht="16.5" hidden="1" customHeight="1" x14ac:dyDescent="0.2">
      <c r="C1104" s="389"/>
      <c r="D1104" s="394" t="s">
        <v>992</v>
      </c>
      <c r="E1104" s="396">
        <v>330000000</v>
      </c>
      <c r="F1104" s="395">
        <v>330000000</v>
      </c>
      <c r="G1104" s="343">
        <f t="shared" si="65"/>
        <v>100</v>
      </c>
      <c r="H1104" s="566">
        <v>100</v>
      </c>
      <c r="I1104" s="111"/>
    </row>
    <row r="1105" spans="3:9" ht="16.5" hidden="1" customHeight="1" x14ac:dyDescent="0.2">
      <c r="C1105" s="226"/>
      <c r="D1105" s="394" t="s">
        <v>993</v>
      </c>
      <c r="E1105" s="396">
        <v>150000000</v>
      </c>
      <c r="F1105" s="395">
        <v>150000000</v>
      </c>
      <c r="G1105" s="343">
        <f t="shared" si="65"/>
        <v>100</v>
      </c>
      <c r="H1105" s="566">
        <v>100</v>
      </c>
      <c r="I1105" s="111"/>
    </row>
    <row r="1106" spans="3:9" ht="16.5" hidden="1" customHeight="1" x14ac:dyDescent="0.2">
      <c r="C1106" s="226"/>
      <c r="D1106" s="394" t="s">
        <v>994</v>
      </c>
      <c r="E1106" s="396">
        <v>2000000</v>
      </c>
      <c r="F1106" s="395">
        <v>2000000</v>
      </c>
      <c r="G1106" s="343">
        <f t="shared" si="65"/>
        <v>100</v>
      </c>
      <c r="H1106" s="566">
        <v>65</v>
      </c>
      <c r="I1106" s="111"/>
    </row>
    <row r="1107" spans="3:9" ht="16.5" hidden="1" customHeight="1" x14ac:dyDescent="0.2">
      <c r="C1107" s="226"/>
      <c r="D1107" s="394" t="s">
        <v>995</v>
      </c>
      <c r="E1107" s="396">
        <v>16680000</v>
      </c>
      <c r="F1107" s="395">
        <v>16680000</v>
      </c>
      <c r="G1107" s="343">
        <f t="shared" si="65"/>
        <v>100</v>
      </c>
      <c r="H1107" s="566">
        <v>100</v>
      </c>
      <c r="I1107" s="111"/>
    </row>
    <row r="1108" spans="3:9" ht="16.5" hidden="1" customHeight="1" x14ac:dyDescent="0.2">
      <c r="C1108" s="226"/>
      <c r="D1108" s="394" t="s">
        <v>996</v>
      </c>
      <c r="E1108" s="396">
        <v>1730000000</v>
      </c>
      <c r="F1108" s="395">
        <v>1437480000</v>
      </c>
      <c r="G1108" s="343">
        <f t="shared" si="65"/>
        <v>83.091329479768788</v>
      </c>
      <c r="H1108" s="566">
        <v>95</v>
      </c>
      <c r="I1108" s="111"/>
    </row>
    <row r="1109" spans="3:9" ht="16.5" hidden="1" customHeight="1" x14ac:dyDescent="0.2">
      <c r="C1109" s="226"/>
      <c r="D1109" s="394" t="s">
        <v>997</v>
      </c>
      <c r="E1109" s="396">
        <v>100000000</v>
      </c>
      <c r="F1109" s="395">
        <v>98500000</v>
      </c>
      <c r="G1109" s="343">
        <f t="shared" si="65"/>
        <v>98.5</v>
      </c>
      <c r="H1109" s="566">
        <v>100</v>
      </c>
      <c r="I1109" s="111"/>
    </row>
    <row r="1110" spans="3:9" ht="16.5" hidden="1" customHeight="1" x14ac:dyDescent="0.2">
      <c r="C1110" s="226"/>
      <c r="D1110" s="394" t="s">
        <v>998</v>
      </c>
      <c r="E1110" s="396">
        <v>500000000</v>
      </c>
      <c r="F1110" s="395">
        <v>500000000</v>
      </c>
      <c r="G1110" s="343">
        <f t="shared" si="65"/>
        <v>100</v>
      </c>
      <c r="H1110" s="566">
        <v>100</v>
      </c>
      <c r="I1110" s="111"/>
    </row>
    <row r="1111" spans="3:9" s="115" customFormat="1" ht="16.5" hidden="1" customHeight="1" x14ac:dyDescent="0.2">
      <c r="C1111" s="222"/>
      <c r="D1111" s="391" t="s">
        <v>999</v>
      </c>
      <c r="E1111" s="397">
        <f>E1112+E1113+E1114+E1115+E1116+E1117+E1118+E1119</f>
        <v>430400000</v>
      </c>
      <c r="F1111" s="392">
        <v>400620000</v>
      </c>
      <c r="G1111" s="342">
        <f t="shared" si="65"/>
        <v>93.080855018587357</v>
      </c>
      <c r="H1111" s="393">
        <f>SUM(H1112:H1119)/8</f>
        <v>98.625</v>
      </c>
      <c r="I1111" s="121"/>
    </row>
    <row r="1112" spans="3:9" ht="16.5" hidden="1" customHeight="1" x14ac:dyDescent="0.2">
      <c r="C1112" s="226"/>
      <c r="D1112" s="394" t="s">
        <v>1000</v>
      </c>
      <c r="E1112" s="398">
        <v>32000000</v>
      </c>
      <c r="F1112" s="395">
        <v>29900000</v>
      </c>
      <c r="G1112" s="343">
        <f t="shared" si="65"/>
        <v>93.4375</v>
      </c>
      <c r="H1112" s="566">
        <v>98</v>
      </c>
      <c r="I1112" s="111"/>
    </row>
    <row r="1113" spans="3:9" ht="16.5" hidden="1" customHeight="1" x14ac:dyDescent="0.2">
      <c r="C1113" s="226"/>
      <c r="D1113" s="394" t="s">
        <v>1001</v>
      </c>
      <c r="E1113" s="398">
        <v>24000000</v>
      </c>
      <c r="F1113" s="395">
        <v>22500000</v>
      </c>
      <c r="G1113" s="343">
        <f t="shared" si="65"/>
        <v>93.75</v>
      </c>
      <c r="H1113" s="566">
        <v>98</v>
      </c>
      <c r="I1113" s="111"/>
    </row>
    <row r="1114" spans="3:9" ht="16.5" hidden="1" customHeight="1" x14ac:dyDescent="0.2">
      <c r="C1114" s="226"/>
      <c r="D1114" s="394" t="s">
        <v>1002</v>
      </c>
      <c r="E1114" s="396">
        <v>24400000</v>
      </c>
      <c r="F1114" s="395">
        <v>24400000</v>
      </c>
      <c r="G1114" s="343">
        <f t="shared" si="65"/>
        <v>100</v>
      </c>
      <c r="H1114" s="566">
        <v>100</v>
      </c>
      <c r="I1114" s="111"/>
    </row>
    <row r="1115" spans="3:9" ht="16.5" hidden="1" customHeight="1" x14ac:dyDescent="0.2">
      <c r="C1115" s="226"/>
      <c r="D1115" s="394" t="s">
        <v>1003</v>
      </c>
      <c r="E1115" s="396">
        <v>150000000</v>
      </c>
      <c r="F1115" s="395">
        <v>136500000</v>
      </c>
      <c r="G1115" s="343">
        <f t="shared" si="65"/>
        <v>91</v>
      </c>
      <c r="H1115" s="566">
        <v>97</v>
      </c>
      <c r="I1115" s="399"/>
    </row>
    <row r="1116" spans="3:9" ht="16.5" hidden="1" customHeight="1" x14ac:dyDescent="0.2">
      <c r="C1116" s="226"/>
      <c r="D1116" s="394" t="s">
        <v>1004</v>
      </c>
      <c r="E1116" s="396">
        <v>30000000</v>
      </c>
      <c r="F1116" s="395">
        <v>18820000</v>
      </c>
      <c r="G1116" s="343">
        <f t="shared" si="65"/>
        <v>62.733333333333327</v>
      </c>
      <c r="H1116" s="566">
        <v>97</v>
      </c>
      <c r="I1116" s="399"/>
    </row>
    <row r="1117" spans="3:9" ht="16.5" hidden="1" customHeight="1" x14ac:dyDescent="0.2">
      <c r="C1117" s="226"/>
      <c r="D1117" s="394" t="s">
        <v>1005</v>
      </c>
      <c r="E1117" s="396">
        <v>70000000</v>
      </c>
      <c r="F1117" s="395">
        <v>68500000</v>
      </c>
      <c r="G1117" s="343">
        <f t="shared" si="65"/>
        <v>97.857142857142847</v>
      </c>
      <c r="H1117" s="566">
        <v>99</v>
      </c>
      <c r="I1117" s="399"/>
    </row>
    <row r="1118" spans="3:9" ht="16.5" hidden="1" customHeight="1" x14ac:dyDescent="0.2">
      <c r="C1118" s="226"/>
      <c r="D1118" s="394" t="s">
        <v>1006</v>
      </c>
      <c r="E1118" s="396">
        <v>70000000</v>
      </c>
      <c r="F1118" s="395">
        <v>70000000</v>
      </c>
      <c r="G1118" s="343">
        <f t="shared" si="65"/>
        <v>100</v>
      </c>
      <c r="H1118" s="566">
        <v>100</v>
      </c>
      <c r="I1118" s="400"/>
    </row>
    <row r="1119" spans="3:9" ht="16.5" hidden="1" customHeight="1" x14ac:dyDescent="0.2">
      <c r="C1119" s="226"/>
      <c r="D1119" s="394" t="s">
        <v>1007</v>
      </c>
      <c r="E1119" s="396">
        <v>30000000</v>
      </c>
      <c r="F1119" s="395">
        <v>30000000</v>
      </c>
      <c r="G1119" s="343">
        <f t="shared" si="65"/>
        <v>100</v>
      </c>
      <c r="H1119" s="566">
        <v>100</v>
      </c>
      <c r="I1119" s="400"/>
    </row>
    <row r="1120" spans="3:9" ht="16.5" hidden="1" customHeight="1" x14ac:dyDescent="0.2">
      <c r="C1120" s="226"/>
      <c r="D1120" s="391" t="s">
        <v>1008</v>
      </c>
      <c r="E1120" s="397">
        <f>E1121+E1122+E1123</f>
        <v>1407791600</v>
      </c>
      <c r="F1120" s="397">
        <v>1407791600</v>
      </c>
      <c r="G1120" s="342">
        <f t="shared" si="65"/>
        <v>100</v>
      </c>
      <c r="H1120" s="393">
        <f>SUM(H1121:H1123)/3</f>
        <v>100</v>
      </c>
      <c r="I1120" s="111"/>
    </row>
    <row r="1121" spans="3:9" ht="16.5" hidden="1" customHeight="1" x14ac:dyDescent="0.2">
      <c r="C1121" s="226"/>
      <c r="D1121" s="394" t="s">
        <v>1009</v>
      </c>
      <c r="E1121" s="396">
        <v>1278291600</v>
      </c>
      <c r="F1121" s="396">
        <v>1278291600</v>
      </c>
      <c r="G1121" s="343">
        <f t="shared" si="65"/>
        <v>100</v>
      </c>
      <c r="H1121" s="566">
        <v>100</v>
      </c>
      <c r="I1121" s="111"/>
    </row>
    <row r="1122" spans="3:9" ht="16.5" hidden="1" customHeight="1" x14ac:dyDescent="0.2">
      <c r="C1122" s="226"/>
      <c r="D1122" s="394" t="s">
        <v>1010</v>
      </c>
      <c r="E1122" s="396">
        <v>120000000</v>
      </c>
      <c r="F1122" s="396">
        <v>120000000</v>
      </c>
      <c r="G1122" s="343">
        <f t="shared" si="65"/>
        <v>100</v>
      </c>
      <c r="H1122" s="566">
        <v>100</v>
      </c>
      <c r="I1122" s="111"/>
    </row>
    <row r="1123" spans="3:9" ht="16.5" hidden="1" customHeight="1" x14ac:dyDescent="0.2">
      <c r="C1123" s="226"/>
      <c r="D1123" s="394" t="s">
        <v>1011</v>
      </c>
      <c r="E1123" s="396">
        <v>9500000</v>
      </c>
      <c r="F1123" s="401">
        <v>9500000</v>
      </c>
      <c r="G1123" s="343">
        <f t="shared" si="65"/>
        <v>100</v>
      </c>
      <c r="H1123" s="566">
        <v>100</v>
      </c>
      <c r="I1123" s="111"/>
    </row>
    <row r="1124" spans="3:9" ht="16.5" hidden="1" customHeight="1" x14ac:dyDescent="0.2">
      <c r="C1124" s="226"/>
      <c r="D1124" s="391" t="s">
        <v>1012</v>
      </c>
      <c r="E1124" s="397">
        <f>E1126+E1127+E1129</f>
        <v>9102800000</v>
      </c>
      <c r="F1124" s="397">
        <v>9100599800</v>
      </c>
      <c r="G1124" s="342">
        <f t="shared" si="65"/>
        <v>99.97582941512502</v>
      </c>
      <c r="H1124" s="393">
        <f>SUM(H1125:H1127)/2</f>
        <v>98.5</v>
      </c>
      <c r="I1124" s="111"/>
    </row>
    <row r="1125" spans="3:9" ht="16.5" hidden="1" customHeight="1" x14ac:dyDescent="0.2">
      <c r="C1125" s="226"/>
      <c r="D1125" s="394" t="s">
        <v>1013</v>
      </c>
      <c r="E1125" s="402">
        <v>0</v>
      </c>
      <c r="F1125" s="401">
        <v>0</v>
      </c>
      <c r="G1125" s="343"/>
      <c r="H1125" s="358"/>
      <c r="I1125" s="111"/>
    </row>
    <row r="1126" spans="3:9" ht="16.5" hidden="1" customHeight="1" x14ac:dyDescent="0.2">
      <c r="C1126" s="226"/>
      <c r="D1126" s="394" t="s">
        <v>1014</v>
      </c>
      <c r="E1126" s="396">
        <v>1850400000</v>
      </c>
      <c r="F1126" s="401">
        <v>1849200000</v>
      </c>
      <c r="G1126" s="343">
        <f>+F1126/E1126*100</f>
        <v>99.935149156939048</v>
      </c>
      <c r="H1126" s="566">
        <v>98</v>
      </c>
      <c r="I1126" s="111"/>
    </row>
    <row r="1127" spans="3:9" ht="16.5" hidden="1" customHeight="1" x14ac:dyDescent="0.2">
      <c r="C1127" s="226"/>
      <c r="D1127" s="394" t="s">
        <v>1015</v>
      </c>
      <c r="E1127" s="396">
        <v>6674400000</v>
      </c>
      <c r="F1127" s="401">
        <v>6673400000</v>
      </c>
      <c r="G1127" s="343">
        <f>+F1127/E1127*100</f>
        <v>99.985017379839391</v>
      </c>
      <c r="H1127" s="566">
        <v>99</v>
      </c>
      <c r="I1127" s="111"/>
    </row>
    <row r="1128" spans="3:9" ht="16.5" hidden="1" customHeight="1" x14ac:dyDescent="0.2">
      <c r="C1128" s="226"/>
      <c r="D1128" s="394"/>
      <c r="E1128" s="396"/>
      <c r="F1128" s="401"/>
      <c r="G1128" s="343"/>
      <c r="H1128" s="566"/>
      <c r="I1128" s="111"/>
    </row>
    <row r="1129" spans="3:9" ht="16.5" hidden="1" customHeight="1" x14ac:dyDescent="0.25">
      <c r="C1129" s="389"/>
      <c r="D1129" s="391" t="s">
        <v>1016</v>
      </c>
      <c r="E1129" s="397">
        <v>578000000</v>
      </c>
      <c r="F1129" s="560">
        <v>577999800</v>
      </c>
      <c r="G1129" s="342">
        <f>+F1129/E1129*100</f>
        <v>99.999965397923873</v>
      </c>
      <c r="H1129" s="342">
        <v>99</v>
      </c>
      <c r="I1129" s="111"/>
    </row>
    <row r="1130" spans="3:9" ht="16.5" hidden="1" customHeight="1" x14ac:dyDescent="0.2">
      <c r="C1130" s="389"/>
      <c r="D1130" s="391"/>
      <c r="E1130" s="396"/>
      <c r="F1130" s="401"/>
      <c r="G1130" s="343"/>
      <c r="H1130" s="358"/>
      <c r="I1130" s="111"/>
    </row>
    <row r="1131" spans="3:9" ht="16.5" hidden="1" customHeight="1" x14ac:dyDescent="0.2">
      <c r="C1131" s="389"/>
      <c r="D1131" s="391" t="s">
        <v>1017</v>
      </c>
      <c r="E1131" s="397">
        <f>E1132</f>
        <v>6000000000</v>
      </c>
      <c r="F1131" s="397">
        <f>+F1132</f>
        <v>4547375684</v>
      </c>
      <c r="G1131" s="342">
        <f>+F1131/E1131*100</f>
        <v>75.789594733333331</v>
      </c>
      <c r="H1131" s="393">
        <v>55</v>
      </c>
      <c r="I1131" s="111"/>
    </row>
    <row r="1132" spans="3:9" ht="16.5" hidden="1" customHeight="1" x14ac:dyDescent="0.2">
      <c r="C1132" s="226"/>
      <c r="D1132" s="391" t="s">
        <v>1012</v>
      </c>
      <c r="E1132" s="397">
        <f>E1133</f>
        <v>6000000000</v>
      </c>
      <c r="F1132" s="397">
        <v>4547375684</v>
      </c>
      <c r="G1132" s="342">
        <f>+F1132/E1132*100</f>
        <v>75.789594733333331</v>
      </c>
      <c r="H1132" s="393">
        <v>55</v>
      </c>
      <c r="I1132" s="111"/>
    </row>
    <row r="1133" spans="3:9" ht="16.5" hidden="1" customHeight="1" x14ac:dyDescent="0.2">
      <c r="C1133" s="226"/>
      <c r="D1133" s="394" t="s">
        <v>1018</v>
      </c>
      <c r="E1133" s="396">
        <v>6000000000</v>
      </c>
      <c r="F1133" s="401">
        <v>4547375684</v>
      </c>
      <c r="G1133" s="343">
        <f>+F1133/E1133*100</f>
        <v>75.789594733333331</v>
      </c>
      <c r="H1133" s="566">
        <v>55</v>
      </c>
      <c r="I1133" s="111"/>
    </row>
    <row r="1134" spans="3:9" ht="16.5" hidden="1" customHeight="1" x14ac:dyDescent="0.2">
      <c r="C1134" s="226"/>
      <c r="D1134" s="394"/>
      <c r="E1134" s="396"/>
      <c r="F1134" s="401"/>
      <c r="G1134" s="343"/>
      <c r="H1134" s="358"/>
      <c r="I1134" s="111"/>
    </row>
    <row r="1135" spans="3:9" ht="16.5" hidden="1" customHeight="1" x14ac:dyDescent="0.2">
      <c r="C1135" s="226"/>
      <c r="D1135" s="391" t="s">
        <v>1019</v>
      </c>
      <c r="E1135" s="397">
        <f>E1136+E1163</f>
        <v>15537595800</v>
      </c>
      <c r="F1135" s="397">
        <v>3692062710</v>
      </c>
      <c r="G1135" s="343">
        <f t="shared" ref="G1135:G1159" si="66">+F1135/E1135*100</f>
        <v>23.762123545523046</v>
      </c>
      <c r="H1135" s="358"/>
      <c r="I1135" s="111"/>
    </row>
    <row r="1136" spans="3:9" s="115" customFormat="1" ht="16.5" hidden="1" customHeight="1" x14ac:dyDescent="0.2">
      <c r="C1136" s="222"/>
      <c r="D1136" s="391" t="s">
        <v>1020</v>
      </c>
      <c r="E1136" s="397">
        <f>E1137+E1145+E1148+E1150+E1152+E1158+E1161</f>
        <v>13537595800</v>
      </c>
      <c r="F1136" s="397">
        <v>3199708060</v>
      </c>
      <c r="G1136" s="342">
        <f t="shared" si="66"/>
        <v>23.635718684997229</v>
      </c>
      <c r="H1136" s="393">
        <f>(H1137+H1145+H1148+H1150+H1152+H1158)/6</f>
        <v>75.852380952380955</v>
      </c>
      <c r="I1136" s="121"/>
    </row>
    <row r="1137" spans="3:9" s="115" customFormat="1" ht="16.5" hidden="1" customHeight="1" x14ac:dyDescent="0.2">
      <c r="C1137" s="222"/>
      <c r="D1137" s="391" t="s">
        <v>1021</v>
      </c>
      <c r="E1137" s="397">
        <f>E1138+E1139+E1140+E1141+E1142+E1143+E1144</f>
        <v>8652064300</v>
      </c>
      <c r="F1137" s="392">
        <v>7918703014</v>
      </c>
      <c r="G1137" s="342">
        <f t="shared" si="66"/>
        <v>91.523857653253913</v>
      </c>
      <c r="H1137" s="393">
        <f>SUM(H1138:H1144)/7</f>
        <v>70.714285714285708</v>
      </c>
      <c r="I1137" s="121"/>
    </row>
    <row r="1138" spans="3:9" ht="16.5" hidden="1" customHeight="1" x14ac:dyDescent="0.2">
      <c r="C1138" s="226"/>
      <c r="D1138" s="394" t="s">
        <v>1022</v>
      </c>
      <c r="E1138" s="396">
        <v>206357000</v>
      </c>
      <c r="F1138" s="395">
        <v>176987000</v>
      </c>
      <c r="G1138" s="343">
        <f t="shared" si="66"/>
        <v>85.767383708815302</v>
      </c>
      <c r="H1138" s="566">
        <v>40</v>
      </c>
      <c r="I1138" s="111"/>
    </row>
    <row r="1139" spans="3:9" ht="16.5" hidden="1" customHeight="1" x14ac:dyDescent="0.2">
      <c r="C1139" s="226"/>
      <c r="D1139" s="394" t="s">
        <v>1023</v>
      </c>
      <c r="E1139" s="396">
        <v>964956600</v>
      </c>
      <c r="F1139" s="395">
        <v>913916600</v>
      </c>
      <c r="G1139" s="343">
        <f t="shared" si="66"/>
        <v>94.710642944978048</v>
      </c>
      <c r="H1139" s="566">
        <v>90</v>
      </c>
      <c r="I1139" s="111"/>
    </row>
    <row r="1140" spans="3:9" ht="16.5" hidden="1" customHeight="1" x14ac:dyDescent="0.2">
      <c r="C1140" s="226"/>
      <c r="D1140" s="394" t="s">
        <v>1024</v>
      </c>
      <c r="E1140" s="396">
        <v>2603450700</v>
      </c>
      <c r="F1140" s="395">
        <v>2386465837</v>
      </c>
      <c r="G1140" s="343">
        <f t="shared" si="66"/>
        <v>91.665489843921378</v>
      </c>
      <c r="H1140" s="566">
        <v>70</v>
      </c>
      <c r="I1140" s="111"/>
    </row>
    <row r="1141" spans="3:9" ht="16.5" hidden="1" customHeight="1" x14ac:dyDescent="0.25">
      <c r="C1141" s="226"/>
      <c r="D1141" s="394" t="s">
        <v>1025</v>
      </c>
      <c r="E1141" s="396">
        <v>327000000</v>
      </c>
      <c r="F1141" s="395">
        <v>327000000</v>
      </c>
      <c r="G1141" s="343">
        <f t="shared" si="66"/>
        <v>100</v>
      </c>
      <c r="H1141" s="343">
        <v>100</v>
      </c>
      <c r="I1141" s="111"/>
    </row>
    <row r="1142" spans="3:9" ht="16.5" hidden="1" customHeight="1" x14ac:dyDescent="0.2">
      <c r="C1142" s="226"/>
      <c r="D1142" s="394" t="s">
        <v>1026</v>
      </c>
      <c r="E1142" s="396">
        <v>508000000</v>
      </c>
      <c r="F1142" s="395">
        <v>399000000</v>
      </c>
      <c r="G1142" s="343">
        <f t="shared" si="66"/>
        <v>78.543307086614178</v>
      </c>
      <c r="H1142" s="566">
        <v>55</v>
      </c>
      <c r="I1142" s="111"/>
    </row>
    <row r="1143" spans="3:9" ht="16.5" hidden="1" customHeight="1" x14ac:dyDescent="0.2">
      <c r="C1143" s="226"/>
      <c r="D1143" s="394" t="s">
        <v>1027</v>
      </c>
      <c r="E1143" s="396">
        <v>3828000000</v>
      </c>
      <c r="F1143" s="395">
        <v>3715333577</v>
      </c>
      <c r="G1143" s="343">
        <f t="shared" si="66"/>
        <v>97.056781008359465</v>
      </c>
      <c r="H1143" s="566">
        <v>80</v>
      </c>
      <c r="I1143" s="111"/>
    </row>
    <row r="1144" spans="3:9" ht="16.5" hidden="1" customHeight="1" x14ac:dyDescent="0.2">
      <c r="C1144" s="226"/>
      <c r="D1144" s="394" t="s">
        <v>1028</v>
      </c>
      <c r="E1144" s="396">
        <v>214300000</v>
      </c>
      <c r="F1144" s="395">
        <v>202250000</v>
      </c>
      <c r="G1144" s="343">
        <f t="shared" si="66"/>
        <v>94.377041530564625</v>
      </c>
      <c r="H1144" s="566">
        <v>60</v>
      </c>
      <c r="I1144" s="111"/>
    </row>
    <row r="1145" spans="3:9" s="115" customFormat="1" ht="16.5" hidden="1" customHeight="1" x14ac:dyDescent="0.25">
      <c r="C1145" s="222"/>
      <c r="D1145" s="391" t="s">
        <v>1029</v>
      </c>
      <c r="E1145" s="397">
        <f>E1146+E1147</f>
        <v>191235000</v>
      </c>
      <c r="F1145" s="397">
        <v>168096000</v>
      </c>
      <c r="G1145" s="342">
        <f t="shared" si="66"/>
        <v>87.900227468821086</v>
      </c>
      <c r="H1145" s="342">
        <f>SUM(H1146:H1147)/2</f>
        <v>94</v>
      </c>
      <c r="I1145" s="121"/>
    </row>
    <row r="1146" spans="3:9" ht="16.5" hidden="1" customHeight="1" x14ac:dyDescent="0.2">
      <c r="C1146" s="226"/>
      <c r="D1146" s="394" t="s">
        <v>1030</v>
      </c>
      <c r="E1146" s="396">
        <v>62586000</v>
      </c>
      <c r="F1146" s="401">
        <v>51816000</v>
      </c>
      <c r="G1146" s="343">
        <f t="shared" si="66"/>
        <v>82.79167865017736</v>
      </c>
      <c r="H1146" s="566">
        <v>90</v>
      </c>
      <c r="I1146" s="111"/>
    </row>
    <row r="1147" spans="3:9" ht="16.5" hidden="1" customHeight="1" x14ac:dyDescent="0.2">
      <c r="C1147" s="226"/>
      <c r="D1147" s="394" t="s">
        <v>1031</v>
      </c>
      <c r="E1147" s="396">
        <v>128649000</v>
      </c>
      <c r="F1147" s="401">
        <v>116280000</v>
      </c>
      <c r="G1147" s="343">
        <f t="shared" si="66"/>
        <v>90.385467434647765</v>
      </c>
      <c r="H1147" s="566">
        <v>98</v>
      </c>
      <c r="I1147" s="111"/>
    </row>
    <row r="1148" spans="3:9" s="115" customFormat="1" ht="16.5" hidden="1" customHeight="1" x14ac:dyDescent="0.25">
      <c r="C1148" s="222"/>
      <c r="D1148" s="391" t="s">
        <v>1032</v>
      </c>
      <c r="E1148" s="397">
        <f>+E1149</f>
        <v>483750000</v>
      </c>
      <c r="F1148" s="397">
        <v>483750000</v>
      </c>
      <c r="G1148" s="342">
        <f t="shared" si="66"/>
        <v>100</v>
      </c>
      <c r="H1148" s="342">
        <v>100</v>
      </c>
      <c r="I1148" s="121"/>
    </row>
    <row r="1149" spans="3:9" ht="16.5" hidden="1" customHeight="1" x14ac:dyDescent="0.2">
      <c r="C1149" s="226"/>
      <c r="D1149" s="394" t="s">
        <v>1033</v>
      </c>
      <c r="E1149" s="396">
        <v>483750000</v>
      </c>
      <c r="F1149" s="403">
        <v>483750000</v>
      </c>
      <c r="G1149" s="343">
        <f t="shared" si="66"/>
        <v>100</v>
      </c>
      <c r="H1149" s="343">
        <v>100</v>
      </c>
      <c r="I1149" s="111"/>
    </row>
    <row r="1150" spans="3:9" s="115" customFormat="1" ht="16.5" hidden="1" customHeight="1" x14ac:dyDescent="0.2">
      <c r="C1150" s="222"/>
      <c r="D1150" s="391" t="s">
        <v>1034</v>
      </c>
      <c r="E1150" s="397">
        <f>E1151</f>
        <v>40625000</v>
      </c>
      <c r="F1150" s="392">
        <v>6062500</v>
      </c>
      <c r="G1150" s="342">
        <f t="shared" si="66"/>
        <v>14.923076923076922</v>
      </c>
      <c r="H1150" s="393">
        <v>60</v>
      </c>
      <c r="I1150" s="121"/>
    </row>
    <row r="1151" spans="3:9" ht="16.5" hidden="1" customHeight="1" x14ac:dyDescent="0.2">
      <c r="C1151" s="226"/>
      <c r="D1151" s="394" t="s">
        <v>1035</v>
      </c>
      <c r="E1151" s="396">
        <v>40625000</v>
      </c>
      <c r="F1151" s="395">
        <v>6062500</v>
      </c>
      <c r="G1151" s="343">
        <f t="shared" si="66"/>
        <v>14.923076923076922</v>
      </c>
      <c r="H1151" s="566">
        <v>60</v>
      </c>
      <c r="I1151" s="111"/>
    </row>
    <row r="1152" spans="3:9" s="115" customFormat="1" ht="16.5" hidden="1" customHeight="1" x14ac:dyDescent="0.25">
      <c r="C1152" s="222"/>
      <c r="D1152" s="391" t="s">
        <v>1036</v>
      </c>
      <c r="E1152" s="397">
        <f>E1153+E1154+E1155+E1156+E1157</f>
        <v>1744771500</v>
      </c>
      <c r="F1152" s="397">
        <v>1419372500</v>
      </c>
      <c r="G1152" s="342">
        <f t="shared" si="66"/>
        <v>81.35005070864581</v>
      </c>
      <c r="H1152" s="342">
        <f>SUM(H1153:H1157)/5</f>
        <v>75.400000000000006</v>
      </c>
      <c r="I1152" s="121"/>
    </row>
    <row r="1153" spans="3:9" ht="16.5" hidden="1" customHeight="1" x14ac:dyDescent="0.25">
      <c r="C1153" s="226"/>
      <c r="D1153" s="394" t="s">
        <v>1037</v>
      </c>
      <c r="E1153" s="396">
        <v>128500000</v>
      </c>
      <c r="F1153" s="396">
        <v>128500000</v>
      </c>
      <c r="G1153" s="343">
        <f t="shared" si="66"/>
        <v>100</v>
      </c>
      <c r="H1153" s="343">
        <v>100</v>
      </c>
      <c r="I1153" s="111"/>
    </row>
    <row r="1154" spans="3:9" ht="18.75" hidden="1" customHeight="1" x14ac:dyDescent="0.25">
      <c r="C1154" s="226"/>
      <c r="D1154" s="394" t="s">
        <v>1038</v>
      </c>
      <c r="E1154" s="396">
        <v>106220000</v>
      </c>
      <c r="F1154" s="396">
        <v>50000000</v>
      </c>
      <c r="G1154" s="343">
        <f t="shared" si="66"/>
        <v>47.072114479382414</v>
      </c>
      <c r="H1154" s="343">
        <v>50</v>
      </c>
      <c r="I1154" s="111"/>
    </row>
    <row r="1155" spans="3:9" ht="16.5" hidden="1" customHeight="1" x14ac:dyDescent="0.25">
      <c r="C1155" s="226"/>
      <c r="D1155" s="394" t="s">
        <v>1039</v>
      </c>
      <c r="E1155" s="396">
        <v>493444000</v>
      </c>
      <c r="F1155" s="396">
        <v>307705000</v>
      </c>
      <c r="G1155" s="343">
        <f t="shared" si="66"/>
        <v>62.358646573876676</v>
      </c>
      <c r="H1155" s="343">
        <v>77</v>
      </c>
      <c r="I1155" s="111"/>
    </row>
    <row r="1156" spans="3:9" ht="16.5" hidden="1" customHeight="1" x14ac:dyDescent="0.25">
      <c r="C1156" s="226"/>
      <c r="D1156" s="394" t="s">
        <v>1040</v>
      </c>
      <c r="E1156" s="396">
        <v>689920000</v>
      </c>
      <c r="F1156" s="396">
        <v>606480000</v>
      </c>
      <c r="G1156" s="343">
        <f t="shared" si="66"/>
        <v>87.905844155844164</v>
      </c>
      <c r="H1156" s="343">
        <v>50</v>
      </c>
      <c r="I1156" s="111"/>
    </row>
    <row r="1157" spans="3:9" ht="18.75" hidden="1" customHeight="1" x14ac:dyDescent="0.25">
      <c r="C1157" s="226"/>
      <c r="D1157" s="394" t="s">
        <v>840</v>
      </c>
      <c r="E1157" s="396">
        <v>326687500</v>
      </c>
      <c r="F1157" s="396">
        <v>326687500</v>
      </c>
      <c r="G1157" s="343">
        <f t="shared" si="66"/>
        <v>100</v>
      </c>
      <c r="H1157" s="343">
        <v>100</v>
      </c>
      <c r="I1157" s="111"/>
    </row>
    <row r="1158" spans="3:9" s="115" customFormat="1" ht="16.5" hidden="1" customHeight="1" x14ac:dyDescent="0.25">
      <c r="C1158" s="222"/>
      <c r="D1158" s="391" t="s">
        <v>1041</v>
      </c>
      <c r="E1158" s="397">
        <f>E1159</f>
        <v>1501150000</v>
      </c>
      <c r="F1158" s="397">
        <v>714012400</v>
      </c>
      <c r="G1158" s="342">
        <f t="shared" si="66"/>
        <v>47.564360656829763</v>
      </c>
      <c r="H1158" s="342">
        <v>55</v>
      </c>
      <c r="I1158" s="121"/>
    </row>
    <row r="1159" spans="3:9" ht="16.5" hidden="1" customHeight="1" x14ac:dyDescent="0.25">
      <c r="C1159" s="226"/>
      <c r="D1159" s="394" t="s">
        <v>1042</v>
      </c>
      <c r="E1159" s="396">
        <v>1501150000</v>
      </c>
      <c r="F1159" s="396">
        <v>714012400</v>
      </c>
      <c r="G1159" s="343">
        <f t="shared" si="66"/>
        <v>47.564360656829763</v>
      </c>
      <c r="H1159" s="343">
        <v>55</v>
      </c>
      <c r="I1159" s="111"/>
    </row>
    <row r="1160" spans="3:9" ht="9.75" hidden="1" customHeight="1" x14ac:dyDescent="0.25">
      <c r="C1160" s="226"/>
      <c r="D1160" s="394"/>
      <c r="E1160" s="396"/>
      <c r="F1160" s="396"/>
      <c r="G1160" s="343"/>
      <c r="H1160" s="343"/>
      <c r="I1160" s="111"/>
    </row>
    <row r="1161" spans="3:9" s="115" customFormat="1" ht="16.5" hidden="1" customHeight="1" x14ac:dyDescent="0.25">
      <c r="C1161" s="222"/>
      <c r="D1161" s="391" t="s">
        <v>1043</v>
      </c>
      <c r="E1161" s="397">
        <v>924000000</v>
      </c>
      <c r="F1161" s="397">
        <v>740000000</v>
      </c>
      <c r="G1161" s="342">
        <f>+F1161/E1161*100</f>
        <v>80.086580086580085</v>
      </c>
      <c r="H1161" s="342">
        <v>55</v>
      </c>
      <c r="I1161" s="121"/>
    </row>
    <row r="1162" spans="3:9" ht="16.5" hidden="1" customHeight="1" x14ac:dyDescent="0.2">
      <c r="C1162" s="226"/>
      <c r="D1162" s="394"/>
      <c r="E1162" s="396"/>
      <c r="F1162" s="401"/>
      <c r="G1162" s="343"/>
      <c r="H1162" s="566"/>
      <c r="I1162" s="111"/>
    </row>
    <row r="1163" spans="3:9" s="115" customFormat="1" ht="16.5" hidden="1" customHeight="1" x14ac:dyDescent="0.25">
      <c r="C1163" s="222"/>
      <c r="D1163" s="391" t="s">
        <v>1044</v>
      </c>
      <c r="E1163" s="397">
        <f>E1164</f>
        <v>2000000000</v>
      </c>
      <c r="F1163" s="397">
        <v>1989406850</v>
      </c>
      <c r="G1163" s="342">
        <f>+F1163/E1163*100</f>
        <v>99.470342500000001</v>
      </c>
      <c r="H1163" s="342">
        <v>80</v>
      </c>
      <c r="I1163" s="121"/>
    </row>
    <row r="1164" spans="3:9" s="115" customFormat="1" ht="16.5" hidden="1" customHeight="1" x14ac:dyDescent="0.25">
      <c r="C1164" s="222"/>
      <c r="D1164" s="391" t="s">
        <v>1021</v>
      </c>
      <c r="E1164" s="397">
        <f>+E1165</f>
        <v>2000000000</v>
      </c>
      <c r="F1164" s="397">
        <v>1989406850</v>
      </c>
      <c r="G1164" s="342">
        <f>+F1164/E1164*100</f>
        <v>99.470342500000001</v>
      </c>
      <c r="H1164" s="342">
        <v>80</v>
      </c>
      <c r="I1164" s="121"/>
    </row>
    <row r="1165" spans="3:9" ht="16.5" hidden="1" customHeight="1" x14ac:dyDescent="0.2">
      <c r="C1165" s="226"/>
      <c r="D1165" s="394" t="s">
        <v>1045</v>
      </c>
      <c r="E1165" s="396">
        <v>2000000000</v>
      </c>
      <c r="F1165" s="401">
        <v>1989406850</v>
      </c>
      <c r="G1165" s="343">
        <f>+F1165/E1165*100</f>
        <v>99.470342500000001</v>
      </c>
      <c r="H1165" s="343">
        <v>80</v>
      </c>
      <c r="I1165" s="111"/>
    </row>
    <row r="1166" spans="3:9" ht="16.5" hidden="1" customHeight="1" x14ac:dyDescent="0.2">
      <c r="C1166" s="226"/>
      <c r="D1166" s="394"/>
      <c r="E1166" s="396"/>
      <c r="F1166" s="401"/>
      <c r="G1166" s="343"/>
      <c r="H1166" s="566"/>
      <c r="I1166" s="111"/>
    </row>
    <row r="1167" spans="3:9" s="115" customFormat="1" ht="16.5" hidden="1" customHeight="1" x14ac:dyDescent="0.2">
      <c r="C1167" s="222"/>
      <c r="D1167" s="391" t="s">
        <v>1046</v>
      </c>
      <c r="E1167" s="397">
        <f>E1168+E1176+E1185+E1201+E1214+E1227+E1241+E1245+E1254+E1258+E1262</f>
        <v>30222472440</v>
      </c>
      <c r="F1167" s="397">
        <v>11755346255</v>
      </c>
      <c r="G1167" s="342">
        <f t="shared" ref="G1167:G1174" si="67">+F1167/E1167*100</f>
        <v>38.896044254280078</v>
      </c>
      <c r="H1167" s="393"/>
      <c r="I1167" s="121"/>
    </row>
    <row r="1168" spans="3:9" s="115" customFormat="1" ht="16.5" hidden="1" customHeight="1" x14ac:dyDescent="0.25">
      <c r="C1168" s="222"/>
      <c r="D1168" s="391" t="s">
        <v>1047</v>
      </c>
      <c r="E1168" s="397">
        <f>E1169+E1171+E1173</f>
        <v>3323000000</v>
      </c>
      <c r="F1168" s="397">
        <v>298410000</v>
      </c>
      <c r="G1168" s="342">
        <f t="shared" si="67"/>
        <v>8.980138429130303</v>
      </c>
      <c r="H1168" s="342">
        <v>100</v>
      </c>
      <c r="I1168" s="121"/>
    </row>
    <row r="1169" spans="3:9" s="115" customFormat="1" ht="16.5" hidden="1" customHeight="1" x14ac:dyDescent="0.25">
      <c r="C1169" s="222"/>
      <c r="D1169" s="391" t="s">
        <v>1048</v>
      </c>
      <c r="E1169" s="397">
        <f>E1170</f>
        <v>299000000</v>
      </c>
      <c r="F1169" s="397">
        <v>298410000</v>
      </c>
      <c r="G1169" s="342">
        <f t="shared" si="67"/>
        <v>99.802675585284277</v>
      </c>
      <c r="H1169" s="342">
        <v>100</v>
      </c>
      <c r="I1169" s="121"/>
    </row>
    <row r="1170" spans="3:9" ht="16.5" hidden="1" customHeight="1" x14ac:dyDescent="0.25">
      <c r="C1170" s="226"/>
      <c r="D1170" s="394" t="s">
        <v>1049</v>
      </c>
      <c r="E1170" s="396">
        <v>299000000</v>
      </c>
      <c r="F1170" s="396">
        <v>298410000</v>
      </c>
      <c r="G1170" s="343">
        <f t="shared" si="67"/>
        <v>99.802675585284277</v>
      </c>
      <c r="H1170" s="343">
        <v>100</v>
      </c>
      <c r="I1170" s="111"/>
    </row>
    <row r="1171" spans="3:9" s="115" customFormat="1" ht="16.5" hidden="1" customHeight="1" x14ac:dyDescent="0.25">
      <c r="C1171" s="222"/>
      <c r="D1171" s="391" t="s">
        <v>1050</v>
      </c>
      <c r="E1171" s="397">
        <f>E1172</f>
        <v>2221000000</v>
      </c>
      <c r="F1171" s="397">
        <v>2216230000</v>
      </c>
      <c r="G1171" s="342">
        <f t="shared" si="67"/>
        <v>99.785231877532638</v>
      </c>
      <c r="H1171" s="342">
        <v>100</v>
      </c>
      <c r="I1171" s="121"/>
    </row>
    <row r="1172" spans="3:9" ht="16.5" hidden="1" customHeight="1" x14ac:dyDescent="0.25">
      <c r="C1172" s="226"/>
      <c r="D1172" s="394" t="s">
        <v>1051</v>
      </c>
      <c r="E1172" s="396">
        <v>2221000000</v>
      </c>
      <c r="F1172" s="396">
        <v>2216230000</v>
      </c>
      <c r="G1172" s="343">
        <f t="shared" si="67"/>
        <v>99.785231877532638</v>
      </c>
      <c r="H1172" s="343">
        <v>100</v>
      </c>
      <c r="I1172" s="111"/>
    </row>
    <row r="1173" spans="3:9" s="115" customFormat="1" ht="16.5" hidden="1" customHeight="1" x14ac:dyDescent="0.25">
      <c r="C1173" s="222"/>
      <c r="D1173" s="391" t="s">
        <v>1052</v>
      </c>
      <c r="E1173" s="397">
        <f>E1174</f>
        <v>803000000</v>
      </c>
      <c r="F1173" s="397">
        <v>800710800</v>
      </c>
      <c r="G1173" s="342">
        <f t="shared" si="67"/>
        <v>99.714919053549195</v>
      </c>
      <c r="H1173" s="342">
        <v>100</v>
      </c>
      <c r="I1173" s="121"/>
    </row>
    <row r="1174" spans="3:9" ht="16.5" hidden="1" customHeight="1" x14ac:dyDescent="0.25">
      <c r="C1174" s="226"/>
      <c r="D1174" s="394" t="s">
        <v>1053</v>
      </c>
      <c r="E1174" s="396">
        <v>803000000</v>
      </c>
      <c r="F1174" s="396">
        <v>800710800</v>
      </c>
      <c r="G1174" s="343">
        <f t="shared" si="67"/>
        <v>99.714919053549195</v>
      </c>
      <c r="H1174" s="343">
        <v>100</v>
      </c>
      <c r="I1174" s="111"/>
    </row>
    <row r="1175" spans="3:9" ht="16.5" hidden="1" customHeight="1" x14ac:dyDescent="0.2">
      <c r="C1175" s="226"/>
      <c r="D1175" s="394"/>
      <c r="E1175" s="396"/>
      <c r="F1175" s="401">
        <v>0</v>
      </c>
      <c r="G1175" s="343"/>
      <c r="H1175" s="566"/>
      <c r="I1175" s="111"/>
    </row>
    <row r="1176" spans="3:9" ht="16.5" hidden="1" customHeight="1" x14ac:dyDescent="0.25">
      <c r="C1176" s="226"/>
      <c r="D1176" s="391" t="s">
        <v>1054</v>
      </c>
      <c r="E1176" s="397">
        <f>E1177+E1182+E1180</f>
        <v>4559920000</v>
      </c>
      <c r="F1176" s="397">
        <v>4141329700</v>
      </c>
      <c r="G1176" s="342">
        <f t="shared" ref="G1176:G1183" si="68">+F1176/E1176*100</f>
        <v>90.820227109247526</v>
      </c>
      <c r="H1176" s="342">
        <f>(H1177+H1180+H1182)/3</f>
        <v>76.666666666666671</v>
      </c>
      <c r="I1176" s="111"/>
    </row>
    <row r="1177" spans="3:9" ht="16.5" hidden="1" customHeight="1" x14ac:dyDescent="0.25">
      <c r="C1177" s="226"/>
      <c r="D1177" s="391" t="s">
        <v>1055</v>
      </c>
      <c r="E1177" s="397">
        <f>E1178+E1179</f>
        <v>2601920000</v>
      </c>
      <c r="F1177" s="397">
        <v>2331351000</v>
      </c>
      <c r="G1177" s="342">
        <f t="shared" si="68"/>
        <v>89.601179129258384</v>
      </c>
      <c r="H1177" s="342">
        <v>70</v>
      </c>
      <c r="I1177" s="111"/>
    </row>
    <row r="1178" spans="3:9" ht="16.5" hidden="1" customHeight="1" x14ac:dyDescent="0.2">
      <c r="C1178" s="226"/>
      <c r="D1178" s="394" t="s">
        <v>1056</v>
      </c>
      <c r="E1178" s="396">
        <v>1651920000</v>
      </c>
      <c r="F1178" s="401">
        <v>1381751000</v>
      </c>
      <c r="G1178" s="343">
        <f t="shared" si="68"/>
        <v>83.645152307617792</v>
      </c>
      <c r="H1178" s="343">
        <v>70</v>
      </c>
      <c r="I1178" s="111"/>
    </row>
    <row r="1179" spans="3:9" ht="16.5" hidden="1" customHeight="1" x14ac:dyDescent="0.2">
      <c r="C1179" s="226"/>
      <c r="D1179" s="394" t="s">
        <v>1057</v>
      </c>
      <c r="E1179" s="396">
        <v>950000000</v>
      </c>
      <c r="F1179" s="401">
        <v>949600000</v>
      </c>
      <c r="G1179" s="343">
        <f t="shared" si="68"/>
        <v>99.957894736842107</v>
      </c>
      <c r="H1179" s="343">
        <v>60</v>
      </c>
      <c r="I1179" s="111"/>
    </row>
    <row r="1180" spans="3:9" ht="16.5" hidden="1" customHeight="1" x14ac:dyDescent="0.25">
      <c r="C1180" s="226"/>
      <c r="D1180" s="391" t="s">
        <v>1058</v>
      </c>
      <c r="E1180" s="397">
        <f>E1181</f>
        <v>950000000</v>
      </c>
      <c r="F1180" s="397">
        <v>946978700</v>
      </c>
      <c r="G1180" s="342">
        <f t="shared" si="68"/>
        <v>99.68196842105263</v>
      </c>
      <c r="H1180" s="342">
        <v>90</v>
      </c>
      <c r="I1180" s="111"/>
    </row>
    <row r="1181" spans="3:9" ht="16.5" hidden="1" customHeight="1" x14ac:dyDescent="0.2">
      <c r="C1181" s="226"/>
      <c r="D1181" s="394" t="s">
        <v>1059</v>
      </c>
      <c r="E1181" s="396">
        <v>950000000</v>
      </c>
      <c r="F1181" s="401">
        <v>946978700</v>
      </c>
      <c r="G1181" s="343">
        <f t="shared" si="68"/>
        <v>99.68196842105263</v>
      </c>
      <c r="H1181" s="343">
        <v>90</v>
      </c>
      <c r="I1181" s="111"/>
    </row>
    <row r="1182" spans="3:9" ht="16.5" hidden="1" customHeight="1" x14ac:dyDescent="0.25">
      <c r="C1182" s="226"/>
      <c r="D1182" s="391" t="s">
        <v>1060</v>
      </c>
      <c r="E1182" s="397">
        <f>E1183</f>
        <v>1008000000</v>
      </c>
      <c r="F1182" s="397">
        <v>863000000</v>
      </c>
      <c r="G1182" s="343">
        <f t="shared" si="68"/>
        <v>85.615079365079367</v>
      </c>
      <c r="H1182" s="342">
        <v>70</v>
      </c>
      <c r="I1182" s="111"/>
    </row>
    <row r="1183" spans="3:9" ht="16.5" hidden="1" customHeight="1" x14ac:dyDescent="0.2">
      <c r="C1183" s="226"/>
      <c r="D1183" s="394" t="s">
        <v>1061</v>
      </c>
      <c r="E1183" s="396">
        <v>1008000000</v>
      </c>
      <c r="F1183" s="401">
        <v>863000000</v>
      </c>
      <c r="G1183" s="343">
        <f t="shared" si="68"/>
        <v>85.615079365079367</v>
      </c>
      <c r="H1183" s="343">
        <v>70</v>
      </c>
      <c r="I1183" s="111"/>
    </row>
    <row r="1184" spans="3:9" ht="16.5" hidden="1" customHeight="1" x14ac:dyDescent="0.2">
      <c r="C1184" s="109"/>
      <c r="D1184" s="394"/>
      <c r="E1184" s="396"/>
      <c r="F1184" s="401">
        <v>0</v>
      </c>
      <c r="G1184" s="343"/>
      <c r="H1184" s="566"/>
      <c r="I1184" s="111"/>
    </row>
    <row r="1185" spans="3:9" ht="16.5" hidden="1" customHeight="1" x14ac:dyDescent="0.25">
      <c r="C1185" s="109"/>
      <c r="D1185" s="391" t="s">
        <v>1062</v>
      </c>
      <c r="E1185" s="397">
        <f>E1186+E1188+E1190+E1192+E1196+E1198</f>
        <v>6053901000</v>
      </c>
      <c r="F1185" s="397">
        <v>4891271900</v>
      </c>
      <c r="G1185" s="342">
        <f t="shared" ref="G1185:G1199" si="69">+F1185/E1185*100</f>
        <v>80.795373099097588</v>
      </c>
      <c r="H1185" s="342">
        <f>(H1186+H1188+H1190+H1192+H1196+H1198)/6</f>
        <v>72.214623132419604</v>
      </c>
      <c r="I1185" s="111"/>
    </row>
    <row r="1186" spans="3:9" ht="16.5" hidden="1" customHeight="1" x14ac:dyDescent="0.25">
      <c r="C1186" s="109"/>
      <c r="D1186" s="391" t="s">
        <v>1063</v>
      </c>
      <c r="E1186" s="397">
        <f>E1187</f>
        <v>84000000</v>
      </c>
      <c r="F1186" s="397">
        <v>84000000</v>
      </c>
      <c r="G1186" s="342">
        <f t="shared" si="69"/>
        <v>100</v>
      </c>
      <c r="H1186" s="342">
        <v>40</v>
      </c>
      <c r="I1186" s="111"/>
    </row>
    <row r="1187" spans="3:9" ht="16.5" hidden="1" customHeight="1" x14ac:dyDescent="0.2">
      <c r="C1187" s="109"/>
      <c r="D1187" s="394" t="s">
        <v>1064</v>
      </c>
      <c r="E1187" s="396">
        <v>84000000</v>
      </c>
      <c r="F1187" s="401">
        <v>84000000</v>
      </c>
      <c r="G1187" s="343">
        <f t="shared" si="69"/>
        <v>100</v>
      </c>
      <c r="H1187" s="343">
        <v>40</v>
      </c>
      <c r="I1187" s="111"/>
    </row>
    <row r="1188" spans="3:9" ht="16.5" hidden="1" customHeight="1" x14ac:dyDescent="0.25">
      <c r="C1188" s="109"/>
      <c r="D1188" s="391" t="s">
        <v>1065</v>
      </c>
      <c r="E1188" s="397">
        <f>E1189</f>
        <v>310445000</v>
      </c>
      <c r="F1188" s="397">
        <v>310445000</v>
      </c>
      <c r="G1188" s="342">
        <f t="shared" si="69"/>
        <v>100</v>
      </c>
      <c r="H1188" s="342">
        <v>100</v>
      </c>
      <c r="I1188" s="111"/>
    </row>
    <row r="1189" spans="3:9" ht="16.5" hidden="1" customHeight="1" x14ac:dyDescent="0.2">
      <c r="C1189" s="109"/>
      <c r="D1189" s="394" t="s">
        <v>1066</v>
      </c>
      <c r="E1189" s="396">
        <v>310445000</v>
      </c>
      <c r="F1189" s="401">
        <v>310445000</v>
      </c>
      <c r="G1189" s="343">
        <f t="shared" si="69"/>
        <v>100</v>
      </c>
      <c r="H1189" s="343">
        <v>100</v>
      </c>
      <c r="I1189" s="111"/>
    </row>
    <row r="1190" spans="3:9" ht="16.5" hidden="1" customHeight="1" x14ac:dyDescent="0.25">
      <c r="C1190" s="109"/>
      <c r="D1190" s="391" t="s">
        <v>1058</v>
      </c>
      <c r="E1190" s="397">
        <f>E1191</f>
        <v>748555000</v>
      </c>
      <c r="F1190" s="397">
        <v>747655000</v>
      </c>
      <c r="G1190" s="342">
        <f t="shared" si="69"/>
        <v>99.879768353694786</v>
      </c>
      <c r="H1190" s="342">
        <v>60</v>
      </c>
      <c r="I1190" s="111"/>
    </row>
    <row r="1191" spans="3:9" ht="16.5" hidden="1" customHeight="1" x14ac:dyDescent="0.2">
      <c r="C1191" s="109"/>
      <c r="D1191" s="394" t="s">
        <v>1067</v>
      </c>
      <c r="E1191" s="396">
        <v>748555000</v>
      </c>
      <c r="F1191" s="401">
        <v>747655000</v>
      </c>
      <c r="G1191" s="343">
        <f t="shared" si="69"/>
        <v>99.879768353694786</v>
      </c>
      <c r="H1191" s="343">
        <v>60</v>
      </c>
      <c r="I1191" s="111"/>
    </row>
    <row r="1192" spans="3:9" ht="16.5" hidden="1" customHeight="1" x14ac:dyDescent="0.25">
      <c r="C1192" s="109"/>
      <c r="D1192" s="391" t="s">
        <v>1068</v>
      </c>
      <c r="E1192" s="397">
        <f>E1193+E1194+E1195</f>
        <v>3974130000</v>
      </c>
      <c r="F1192" s="397">
        <v>2814395500</v>
      </c>
      <c r="G1192" s="342">
        <f t="shared" si="69"/>
        <v>70.8179022830154</v>
      </c>
      <c r="H1192" s="342">
        <f>SUM(H1193:H1195)/3</f>
        <v>88.333333333333329</v>
      </c>
      <c r="I1192" s="111"/>
    </row>
    <row r="1193" spans="3:9" ht="16.5" hidden="1" customHeight="1" x14ac:dyDescent="0.2">
      <c r="C1193" s="109"/>
      <c r="D1193" s="394" t="s">
        <v>1069</v>
      </c>
      <c r="E1193" s="396">
        <v>612050000</v>
      </c>
      <c r="F1193" s="401">
        <v>611300000</v>
      </c>
      <c r="G1193" s="343">
        <f t="shared" si="69"/>
        <v>99.877460991749047</v>
      </c>
      <c r="H1193" s="343">
        <v>85</v>
      </c>
      <c r="I1193" s="111"/>
    </row>
    <row r="1194" spans="3:9" ht="16.5" hidden="1" customHeight="1" x14ac:dyDescent="0.25">
      <c r="C1194" s="109"/>
      <c r="D1194" s="394" t="s">
        <v>1070</v>
      </c>
      <c r="E1194" s="398">
        <v>2996000000</v>
      </c>
      <c r="F1194" s="396">
        <v>1862510500</v>
      </c>
      <c r="G1194" s="343">
        <f t="shared" si="69"/>
        <v>62.166572096128171</v>
      </c>
      <c r="H1194" s="343">
        <v>90</v>
      </c>
      <c r="I1194" s="111"/>
    </row>
    <row r="1195" spans="3:9" ht="16.5" hidden="1" customHeight="1" x14ac:dyDescent="0.2">
      <c r="C1195" s="109"/>
      <c r="D1195" s="394" t="s">
        <v>1071</v>
      </c>
      <c r="E1195" s="396">
        <v>366080000</v>
      </c>
      <c r="F1195" s="401">
        <v>340585000</v>
      </c>
      <c r="G1195" s="343">
        <f t="shared" si="69"/>
        <v>93.03567526223776</v>
      </c>
      <c r="H1195" s="343">
        <v>90</v>
      </c>
      <c r="I1195" s="111"/>
    </row>
    <row r="1196" spans="3:9" ht="16.5" hidden="1" customHeight="1" x14ac:dyDescent="0.25">
      <c r="C1196" s="109"/>
      <c r="D1196" s="391" t="s">
        <v>949</v>
      </c>
      <c r="E1196" s="397">
        <f>E1197</f>
        <v>314950000</v>
      </c>
      <c r="F1196" s="397">
        <v>314806400</v>
      </c>
      <c r="G1196" s="342">
        <f t="shared" si="69"/>
        <v>99.954405461184308</v>
      </c>
      <c r="H1196" s="342">
        <f>+G1196</f>
        <v>99.954405461184308</v>
      </c>
      <c r="I1196" s="111"/>
    </row>
    <row r="1197" spans="3:9" ht="16.5" hidden="1" customHeight="1" x14ac:dyDescent="0.2">
      <c r="C1197" s="109"/>
      <c r="D1197" s="394" t="s">
        <v>1072</v>
      </c>
      <c r="E1197" s="396">
        <v>314950000</v>
      </c>
      <c r="F1197" s="401">
        <v>314806400</v>
      </c>
      <c r="G1197" s="343">
        <f t="shared" si="69"/>
        <v>99.954405461184308</v>
      </c>
      <c r="H1197" s="343">
        <f>+G1197</f>
        <v>99.954405461184308</v>
      </c>
      <c r="I1197" s="111"/>
    </row>
    <row r="1198" spans="3:9" ht="16.5" hidden="1" customHeight="1" x14ac:dyDescent="0.25">
      <c r="C1198" s="109"/>
      <c r="D1198" s="391" t="s">
        <v>1073</v>
      </c>
      <c r="E1198" s="397">
        <f>E1199</f>
        <v>621821000</v>
      </c>
      <c r="F1198" s="397">
        <v>619970000</v>
      </c>
      <c r="G1198" s="342">
        <f t="shared" si="69"/>
        <v>99.70232591051122</v>
      </c>
      <c r="H1198" s="342">
        <v>45</v>
      </c>
      <c r="I1198" s="111"/>
    </row>
    <row r="1199" spans="3:9" ht="16.5" hidden="1" customHeight="1" x14ac:dyDescent="0.2">
      <c r="C1199" s="109"/>
      <c r="D1199" s="394" t="s">
        <v>1074</v>
      </c>
      <c r="E1199" s="396">
        <v>621821000</v>
      </c>
      <c r="F1199" s="401">
        <v>619970000</v>
      </c>
      <c r="G1199" s="343">
        <f t="shared" si="69"/>
        <v>99.70232591051122</v>
      </c>
      <c r="H1199" s="343">
        <v>45</v>
      </c>
      <c r="I1199" s="111"/>
    </row>
    <row r="1200" spans="3:9" ht="16.5" hidden="1" customHeight="1" x14ac:dyDescent="0.2">
      <c r="C1200" s="109"/>
      <c r="D1200" s="394"/>
      <c r="E1200" s="396"/>
      <c r="F1200" s="401">
        <v>0</v>
      </c>
      <c r="G1200" s="343"/>
      <c r="H1200" s="566"/>
      <c r="I1200" s="111"/>
    </row>
    <row r="1201" spans="3:9" ht="16.5" hidden="1" customHeight="1" x14ac:dyDescent="0.25">
      <c r="C1201" s="109"/>
      <c r="D1201" s="391" t="s">
        <v>1075</v>
      </c>
      <c r="E1201" s="397">
        <f>E1202</f>
        <v>2313972000</v>
      </c>
      <c r="F1201" s="397">
        <v>2038681200</v>
      </c>
      <c r="G1201" s="342">
        <f t="shared" ref="G1201:G1212" si="70">+F1201/E1201*100</f>
        <v>88.1031058284197</v>
      </c>
      <c r="H1201" s="342">
        <f>(H1202)/1</f>
        <v>90</v>
      </c>
      <c r="I1201" s="111"/>
    </row>
    <row r="1202" spans="3:9" ht="16.5" hidden="1" customHeight="1" x14ac:dyDescent="0.25">
      <c r="C1202" s="109"/>
      <c r="D1202" s="391" t="s">
        <v>1076</v>
      </c>
      <c r="E1202" s="397">
        <f>E1203+E1204+E1205+E1206+E1207+E1208+E1209+E1210+E1211+E1212</f>
        <v>2313972000</v>
      </c>
      <c r="F1202" s="397">
        <v>2038681200</v>
      </c>
      <c r="G1202" s="342">
        <f t="shared" si="70"/>
        <v>88.1031058284197</v>
      </c>
      <c r="H1202" s="342">
        <f>SUM(H1203:H1212)/10</f>
        <v>90</v>
      </c>
      <c r="I1202" s="111"/>
    </row>
    <row r="1203" spans="3:9" ht="16.5" hidden="1" customHeight="1" x14ac:dyDescent="0.2">
      <c r="C1203" s="109"/>
      <c r="D1203" s="394" t="s">
        <v>1077</v>
      </c>
      <c r="E1203" s="396">
        <v>103975000</v>
      </c>
      <c r="F1203" s="401">
        <v>103515000</v>
      </c>
      <c r="G1203" s="343">
        <f t="shared" si="70"/>
        <v>99.557585958163017</v>
      </c>
      <c r="H1203" s="343">
        <v>100</v>
      </c>
      <c r="I1203" s="111"/>
    </row>
    <row r="1204" spans="3:9" ht="16.5" hidden="1" customHeight="1" x14ac:dyDescent="0.2">
      <c r="C1204" s="109"/>
      <c r="D1204" s="394" t="s">
        <v>1078</v>
      </c>
      <c r="E1204" s="396">
        <v>128300000</v>
      </c>
      <c r="F1204" s="401">
        <v>114300000</v>
      </c>
      <c r="G1204" s="343">
        <f t="shared" si="70"/>
        <v>89.088074824629771</v>
      </c>
      <c r="H1204" s="343">
        <v>99</v>
      </c>
      <c r="I1204" s="111"/>
    </row>
    <row r="1205" spans="3:9" ht="16.5" hidden="1" customHeight="1" x14ac:dyDescent="0.25">
      <c r="C1205" s="109"/>
      <c r="D1205" s="394" t="s">
        <v>1079</v>
      </c>
      <c r="E1205" s="396">
        <v>338972000</v>
      </c>
      <c r="F1205" s="396">
        <v>338972000</v>
      </c>
      <c r="G1205" s="343">
        <f t="shared" si="70"/>
        <v>100</v>
      </c>
      <c r="H1205" s="343">
        <v>100</v>
      </c>
      <c r="I1205" s="111"/>
    </row>
    <row r="1206" spans="3:9" ht="16.5" hidden="1" customHeight="1" x14ac:dyDescent="0.2">
      <c r="C1206" s="109"/>
      <c r="D1206" s="394" t="s">
        <v>1080</v>
      </c>
      <c r="E1206" s="396">
        <v>180671000</v>
      </c>
      <c r="F1206" s="401">
        <v>112371000</v>
      </c>
      <c r="G1206" s="343">
        <f t="shared" si="70"/>
        <v>62.196478682245626</v>
      </c>
      <c r="H1206" s="343">
        <v>98</v>
      </c>
      <c r="I1206" s="111"/>
    </row>
    <row r="1207" spans="3:9" ht="16.5" hidden="1" customHeight="1" x14ac:dyDescent="0.2">
      <c r="C1207" s="109"/>
      <c r="D1207" s="394" t="s">
        <v>325</v>
      </c>
      <c r="E1207" s="396">
        <v>106250000</v>
      </c>
      <c r="F1207" s="401">
        <v>106220000</v>
      </c>
      <c r="G1207" s="343">
        <f t="shared" si="70"/>
        <v>99.97176470588235</v>
      </c>
      <c r="H1207" s="343">
        <v>100</v>
      </c>
      <c r="I1207" s="111"/>
    </row>
    <row r="1208" spans="3:9" ht="16.5" hidden="1" customHeight="1" x14ac:dyDescent="0.25">
      <c r="C1208" s="109"/>
      <c r="D1208" s="394" t="s">
        <v>1081</v>
      </c>
      <c r="E1208" s="396">
        <v>252850000</v>
      </c>
      <c r="F1208" s="396">
        <v>222350000</v>
      </c>
      <c r="G1208" s="343">
        <f t="shared" si="70"/>
        <v>87.937512359106179</v>
      </c>
      <c r="H1208" s="343">
        <v>98</v>
      </c>
      <c r="I1208" s="111"/>
    </row>
    <row r="1209" spans="3:9" ht="16.5" hidden="1" customHeight="1" x14ac:dyDescent="0.2">
      <c r="C1209" s="109"/>
      <c r="D1209" s="394" t="s">
        <v>1082</v>
      </c>
      <c r="E1209" s="396">
        <v>286000000</v>
      </c>
      <c r="F1209" s="401">
        <v>285511000</v>
      </c>
      <c r="G1209" s="343">
        <f t="shared" si="70"/>
        <v>99.829020979020981</v>
      </c>
      <c r="H1209" s="343">
        <v>100</v>
      </c>
      <c r="I1209" s="111"/>
    </row>
    <row r="1210" spans="3:9" ht="16.5" hidden="1" customHeight="1" x14ac:dyDescent="0.2">
      <c r="C1210" s="109"/>
      <c r="D1210" s="394" t="s">
        <v>1083</v>
      </c>
      <c r="E1210" s="396">
        <v>98814000</v>
      </c>
      <c r="F1210" s="401">
        <v>2985000</v>
      </c>
      <c r="G1210" s="343">
        <f t="shared" si="70"/>
        <v>3.0208270083186592</v>
      </c>
      <c r="H1210" s="343">
        <v>5</v>
      </c>
      <c r="I1210" s="111"/>
    </row>
    <row r="1211" spans="3:9" ht="16.5" hidden="1" customHeight="1" x14ac:dyDescent="0.2">
      <c r="C1211" s="109"/>
      <c r="D1211" s="394" t="s">
        <v>1084</v>
      </c>
      <c r="E1211" s="396">
        <v>430905000</v>
      </c>
      <c r="F1211" s="401">
        <v>365222200</v>
      </c>
      <c r="G1211" s="343">
        <f t="shared" si="70"/>
        <v>84.757011406226439</v>
      </c>
      <c r="H1211" s="343">
        <v>100</v>
      </c>
      <c r="I1211" s="111"/>
    </row>
    <row r="1212" spans="3:9" ht="16.5" hidden="1" customHeight="1" x14ac:dyDescent="0.25">
      <c r="C1212" s="109"/>
      <c r="D1212" s="394" t="s">
        <v>1085</v>
      </c>
      <c r="E1212" s="396">
        <v>387235000</v>
      </c>
      <c r="F1212" s="396">
        <v>387235000</v>
      </c>
      <c r="G1212" s="343">
        <f t="shared" si="70"/>
        <v>100</v>
      </c>
      <c r="H1212" s="343">
        <v>100</v>
      </c>
      <c r="I1212" s="111"/>
    </row>
    <row r="1213" spans="3:9" ht="16.5" hidden="1" customHeight="1" x14ac:dyDescent="0.2">
      <c r="C1213" s="109"/>
      <c r="D1213" s="394"/>
      <c r="E1213" s="396"/>
      <c r="F1213" s="401">
        <v>0</v>
      </c>
      <c r="G1213" s="343"/>
      <c r="H1213" s="566"/>
      <c r="I1213" s="111"/>
    </row>
    <row r="1214" spans="3:9" ht="16.5" hidden="1" customHeight="1" x14ac:dyDescent="0.25">
      <c r="C1214" s="109"/>
      <c r="D1214" s="391" t="s">
        <v>1086</v>
      </c>
      <c r="E1214" s="397">
        <f>E1221</f>
        <v>3745000000</v>
      </c>
      <c r="F1214" s="396">
        <v>3681164715</v>
      </c>
      <c r="G1214" s="342">
        <f>+F1214/E1214*100</f>
        <v>98.295453004005338</v>
      </c>
      <c r="H1214" s="342">
        <f>(H1221)/1</f>
        <v>100</v>
      </c>
      <c r="I1214" s="111"/>
    </row>
    <row r="1215" spans="3:9" ht="16.5" hidden="1" customHeight="1" x14ac:dyDescent="0.2">
      <c r="C1215" s="109"/>
      <c r="D1215" s="391" t="s">
        <v>1087</v>
      </c>
      <c r="E1215" s="397">
        <f>E1216+E1217</f>
        <v>0</v>
      </c>
      <c r="F1215" s="397">
        <v>0</v>
      </c>
      <c r="G1215" s="343"/>
      <c r="H1215" s="566"/>
      <c r="I1215" s="111"/>
    </row>
    <row r="1216" spans="3:9" ht="16.5" hidden="1" customHeight="1" x14ac:dyDescent="0.2">
      <c r="C1216" s="109"/>
      <c r="D1216" s="394" t="s">
        <v>1088</v>
      </c>
      <c r="E1216" s="396">
        <v>0</v>
      </c>
      <c r="F1216" s="401">
        <v>0</v>
      </c>
      <c r="G1216" s="343"/>
      <c r="H1216" s="566"/>
      <c r="I1216" s="111"/>
    </row>
    <row r="1217" spans="3:9" ht="16.5" hidden="1" customHeight="1" x14ac:dyDescent="0.2">
      <c r="C1217" s="109"/>
      <c r="D1217" s="394" t="s">
        <v>1089</v>
      </c>
      <c r="E1217" s="396">
        <v>0</v>
      </c>
      <c r="F1217" s="401">
        <v>0</v>
      </c>
      <c r="G1217" s="343"/>
      <c r="H1217" s="566"/>
      <c r="I1217" s="111"/>
    </row>
    <row r="1218" spans="3:9" ht="16.5" hidden="1" customHeight="1" x14ac:dyDescent="0.2">
      <c r="C1218" s="109"/>
      <c r="D1218" s="391" t="s">
        <v>1090</v>
      </c>
      <c r="E1218" s="397">
        <f>E1219+E1220</f>
        <v>0</v>
      </c>
      <c r="F1218" s="397">
        <v>0</v>
      </c>
      <c r="G1218" s="343"/>
      <c r="H1218" s="566"/>
      <c r="I1218" s="111"/>
    </row>
    <row r="1219" spans="3:9" ht="16.5" hidden="1" customHeight="1" x14ac:dyDescent="0.2">
      <c r="C1219" s="109"/>
      <c r="D1219" s="394" t="s">
        <v>1091</v>
      </c>
      <c r="E1219" s="396">
        <v>0</v>
      </c>
      <c r="F1219" s="401">
        <v>0</v>
      </c>
      <c r="G1219" s="343"/>
      <c r="H1219" s="566"/>
      <c r="I1219" s="111"/>
    </row>
    <row r="1220" spans="3:9" ht="16.5" hidden="1" customHeight="1" x14ac:dyDescent="0.2">
      <c r="C1220" s="109"/>
      <c r="D1220" s="394" t="s">
        <v>1092</v>
      </c>
      <c r="E1220" s="396">
        <v>0</v>
      </c>
      <c r="F1220" s="401">
        <v>0</v>
      </c>
      <c r="G1220" s="343"/>
      <c r="H1220" s="566"/>
      <c r="I1220" s="111"/>
    </row>
    <row r="1221" spans="3:9" ht="16.5" hidden="1" customHeight="1" x14ac:dyDescent="0.25">
      <c r="C1221" s="109"/>
      <c r="D1221" s="391" t="s">
        <v>899</v>
      </c>
      <c r="E1221" s="397">
        <f>E1222+E1223+E1224+E1225</f>
        <v>3745000000</v>
      </c>
      <c r="F1221" s="397">
        <v>3681164715</v>
      </c>
      <c r="G1221" s="342">
        <f>+F1221/E1221*100</f>
        <v>98.295453004005338</v>
      </c>
      <c r="H1221" s="342">
        <f>SUM(H1222:H1225)/4</f>
        <v>100</v>
      </c>
      <c r="I1221" s="111"/>
    </row>
    <row r="1222" spans="3:9" ht="16.5" hidden="1" customHeight="1" x14ac:dyDescent="0.2">
      <c r="C1222" s="109"/>
      <c r="D1222" s="394" t="s">
        <v>1093</v>
      </c>
      <c r="E1222" s="396">
        <v>300000000</v>
      </c>
      <c r="F1222" s="401">
        <v>300000000</v>
      </c>
      <c r="G1222" s="343">
        <f>+F1222/E1222*100</f>
        <v>100</v>
      </c>
      <c r="H1222" s="343">
        <v>100</v>
      </c>
      <c r="I1222" s="111"/>
    </row>
    <row r="1223" spans="3:9" ht="16.5" hidden="1" customHeight="1" x14ac:dyDescent="0.2">
      <c r="C1223" s="109"/>
      <c r="D1223" s="394" t="s">
        <v>1094</v>
      </c>
      <c r="E1223" s="396">
        <v>800000000</v>
      </c>
      <c r="F1223" s="401">
        <v>794150000</v>
      </c>
      <c r="G1223" s="343">
        <f>+F1223/E1223*100</f>
        <v>99.268749999999997</v>
      </c>
      <c r="H1223" s="343">
        <v>100</v>
      </c>
      <c r="I1223" s="111"/>
    </row>
    <row r="1224" spans="3:9" ht="16.5" hidden="1" customHeight="1" x14ac:dyDescent="0.2">
      <c r="C1224" s="109"/>
      <c r="D1224" s="394" t="s">
        <v>1095</v>
      </c>
      <c r="E1224" s="396">
        <v>696000000</v>
      </c>
      <c r="F1224" s="401">
        <v>669093715</v>
      </c>
      <c r="G1224" s="343">
        <f>+F1224/E1224*100</f>
        <v>96.13415445402299</v>
      </c>
      <c r="H1224" s="343">
        <v>100</v>
      </c>
      <c r="I1224" s="111"/>
    </row>
    <row r="1225" spans="3:9" ht="16.5" hidden="1" customHeight="1" x14ac:dyDescent="0.25">
      <c r="C1225" s="109"/>
      <c r="D1225" s="394" t="s">
        <v>1096</v>
      </c>
      <c r="E1225" s="396">
        <v>1949000000</v>
      </c>
      <c r="F1225" s="396">
        <v>1917921000</v>
      </c>
      <c r="G1225" s="343">
        <f>+F1225/E1225*100</f>
        <v>98.405387378142635</v>
      </c>
      <c r="H1225" s="343">
        <v>100</v>
      </c>
      <c r="I1225" s="111"/>
    </row>
    <row r="1226" spans="3:9" ht="16.5" hidden="1" customHeight="1" x14ac:dyDescent="0.2">
      <c r="C1226" s="109"/>
      <c r="D1226" s="394"/>
      <c r="E1226" s="396"/>
      <c r="F1226" s="401">
        <v>0</v>
      </c>
      <c r="G1226" s="343"/>
      <c r="H1226" s="566"/>
      <c r="I1226" s="111"/>
    </row>
    <row r="1227" spans="3:9" ht="16.5" hidden="1" customHeight="1" x14ac:dyDescent="0.25">
      <c r="C1227" s="109"/>
      <c r="D1227" s="391" t="s">
        <v>1097</v>
      </c>
      <c r="E1227" s="397">
        <f>E1228+E1232+E1235</f>
        <v>3500000000</v>
      </c>
      <c r="F1227" s="397">
        <v>3206282000</v>
      </c>
      <c r="G1227" s="342">
        <f t="shared" ref="G1227:G1239" si="71">+F1227/E1227*100</f>
        <v>91.608057142857149</v>
      </c>
      <c r="H1227" s="342">
        <f>(H1228+H1232+H1235)/3</f>
        <v>99.083333333333329</v>
      </c>
      <c r="I1227" s="111"/>
    </row>
    <row r="1228" spans="3:9" ht="16.5" hidden="1" customHeight="1" x14ac:dyDescent="0.25">
      <c r="C1228" s="109"/>
      <c r="D1228" s="391" t="s">
        <v>1098</v>
      </c>
      <c r="E1228" s="397">
        <f>E1229+E1230+E1231</f>
        <v>1500000000</v>
      </c>
      <c r="F1228" s="397">
        <v>1409006000</v>
      </c>
      <c r="G1228" s="342">
        <f t="shared" si="71"/>
        <v>93.933733333333336</v>
      </c>
      <c r="H1228" s="342">
        <f>SUM(H1229:H1231)/3</f>
        <v>100</v>
      </c>
      <c r="I1228" s="111"/>
    </row>
    <row r="1229" spans="3:9" ht="16.5" hidden="1" customHeight="1" x14ac:dyDescent="0.2">
      <c r="C1229" s="109"/>
      <c r="D1229" s="394" t="s">
        <v>1099</v>
      </c>
      <c r="E1229" s="396">
        <v>250000000</v>
      </c>
      <c r="F1229" s="401">
        <v>248713000</v>
      </c>
      <c r="G1229" s="343">
        <f t="shared" si="71"/>
        <v>99.485199999999992</v>
      </c>
      <c r="H1229" s="343">
        <v>100</v>
      </c>
      <c r="I1229" s="111"/>
    </row>
    <row r="1230" spans="3:9" ht="16.5" hidden="1" customHeight="1" x14ac:dyDescent="0.2">
      <c r="C1230" s="109"/>
      <c r="D1230" s="394" t="s">
        <v>1100</v>
      </c>
      <c r="E1230" s="396">
        <v>250000000</v>
      </c>
      <c r="F1230" s="401">
        <v>247393000</v>
      </c>
      <c r="G1230" s="343">
        <f t="shared" si="71"/>
        <v>98.9572</v>
      </c>
      <c r="H1230" s="343">
        <v>100</v>
      </c>
      <c r="I1230" s="111"/>
    </row>
    <row r="1231" spans="3:9" ht="16.5" hidden="1" customHeight="1" x14ac:dyDescent="0.25">
      <c r="C1231" s="109"/>
      <c r="D1231" s="394" t="s">
        <v>1101</v>
      </c>
      <c r="E1231" s="396">
        <v>1000000000</v>
      </c>
      <c r="F1231" s="396">
        <v>912900000</v>
      </c>
      <c r="G1231" s="343">
        <f t="shared" si="71"/>
        <v>91.29</v>
      </c>
      <c r="H1231" s="343">
        <v>100</v>
      </c>
      <c r="I1231" s="111"/>
    </row>
    <row r="1232" spans="3:9" ht="16.5" hidden="1" customHeight="1" x14ac:dyDescent="0.25">
      <c r="C1232" s="109"/>
      <c r="D1232" s="391" t="s">
        <v>1098</v>
      </c>
      <c r="E1232" s="397">
        <f>E1233+E1234</f>
        <v>290000000</v>
      </c>
      <c r="F1232" s="397">
        <v>123350000</v>
      </c>
      <c r="G1232" s="342">
        <f t="shared" si="71"/>
        <v>42.53448275862069</v>
      </c>
      <c r="H1232" s="342">
        <f>SUM(H1233:H1234)/2</f>
        <v>100</v>
      </c>
      <c r="I1232" s="111"/>
    </row>
    <row r="1233" spans="3:9" ht="16.5" hidden="1" customHeight="1" x14ac:dyDescent="0.25">
      <c r="C1233" s="109"/>
      <c r="D1233" s="394" t="s">
        <v>1102</v>
      </c>
      <c r="E1233" s="396">
        <v>200000000</v>
      </c>
      <c r="F1233" s="396">
        <v>37600000</v>
      </c>
      <c r="G1233" s="343">
        <f t="shared" si="71"/>
        <v>18.8</v>
      </c>
      <c r="H1233" s="343">
        <v>100</v>
      </c>
      <c r="I1233" s="111"/>
    </row>
    <row r="1234" spans="3:9" ht="16.5" hidden="1" customHeight="1" x14ac:dyDescent="0.2">
      <c r="C1234" s="109"/>
      <c r="D1234" s="394" t="s">
        <v>1103</v>
      </c>
      <c r="E1234" s="396">
        <v>90000000</v>
      </c>
      <c r="F1234" s="401">
        <v>85750000</v>
      </c>
      <c r="G1234" s="343">
        <f t="shared" si="71"/>
        <v>95.277777777777771</v>
      </c>
      <c r="H1234" s="343">
        <v>100</v>
      </c>
      <c r="I1234" s="111"/>
    </row>
    <row r="1235" spans="3:9" ht="16.5" hidden="1" customHeight="1" x14ac:dyDescent="0.25">
      <c r="C1235" s="109"/>
      <c r="D1235" s="391" t="s">
        <v>899</v>
      </c>
      <c r="E1235" s="397">
        <f>E1236+E1237+E1238+E1239</f>
        <v>1710000000</v>
      </c>
      <c r="F1235" s="397">
        <v>1673926000</v>
      </c>
      <c r="G1235" s="342">
        <f t="shared" si="71"/>
        <v>97.890409356725144</v>
      </c>
      <c r="H1235" s="342">
        <f>SUM(H1236:H1239)/4</f>
        <v>97.25</v>
      </c>
      <c r="I1235" s="111"/>
    </row>
    <row r="1236" spans="3:9" ht="16.5" hidden="1" customHeight="1" x14ac:dyDescent="0.2">
      <c r="C1236" s="109"/>
      <c r="D1236" s="394" t="s">
        <v>1104</v>
      </c>
      <c r="E1236" s="396">
        <v>726070000</v>
      </c>
      <c r="F1236" s="401">
        <v>693020000</v>
      </c>
      <c r="G1236" s="343">
        <f t="shared" si="71"/>
        <v>95.448097290894822</v>
      </c>
      <c r="H1236" s="343">
        <v>90</v>
      </c>
      <c r="I1236" s="111"/>
    </row>
    <row r="1237" spans="3:9" ht="16.5" hidden="1" customHeight="1" x14ac:dyDescent="0.2">
      <c r="C1237" s="109"/>
      <c r="D1237" s="394" t="s">
        <v>1105</v>
      </c>
      <c r="E1237" s="396">
        <v>733930000</v>
      </c>
      <c r="F1237" s="401">
        <v>733706000</v>
      </c>
      <c r="G1237" s="343">
        <f t="shared" si="71"/>
        <v>99.969479378142339</v>
      </c>
      <c r="H1237" s="343">
        <v>100</v>
      </c>
      <c r="I1237" s="111"/>
    </row>
    <row r="1238" spans="3:9" ht="16.5" hidden="1" customHeight="1" x14ac:dyDescent="0.2">
      <c r="C1238" s="109"/>
      <c r="D1238" s="394" t="s">
        <v>1106</v>
      </c>
      <c r="E1238" s="396">
        <v>130000000</v>
      </c>
      <c r="F1238" s="401">
        <v>128500000</v>
      </c>
      <c r="G1238" s="343">
        <f t="shared" si="71"/>
        <v>98.846153846153854</v>
      </c>
      <c r="H1238" s="343">
        <v>99</v>
      </c>
      <c r="I1238" s="111"/>
    </row>
    <row r="1239" spans="3:9" ht="16.5" hidden="1" customHeight="1" x14ac:dyDescent="0.2">
      <c r="C1239" s="109"/>
      <c r="D1239" s="394" t="s">
        <v>1107</v>
      </c>
      <c r="E1239" s="396">
        <v>120000000</v>
      </c>
      <c r="F1239" s="401">
        <v>118700000</v>
      </c>
      <c r="G1239" s="343">
        <f t="shared" si="71"/>
        <v>98.916666666666657</v>
      </c>
      <c r="H1239" s="343">
        <v>100</v>
      </c>
      <c r="I1239" s="111"/>
    </row>
    <row r="1240" spans="3:9" ht="16.5" hidden="1" customHeight="1" x14ac:dyDescent="0.2">
      <c r="C1240" s="109"/>
      <c r="D1240" s="394"/>
      <c r="E1240" s="396"/>
      <c r="F1240" s="401">
        <v>0</v>
      </c>
      <c r="G1240" s="343"/>
      <c r="H1240" s="566"/>
      <c r="I1240" s="111"/>
    </row>
    <row r="1241" spans="3:9" ht="16.5" hidden="1" customHeight="1" x14ac:dyDescent="0.25">
      <c r="C1241" s="109"/>
      <c r="D1241" s="391" t="s">
        <v>1108</v>
      </c>
      <c r="E1241" s="397">
        <f>E1242</f>
        <v>1450000000</v>
      </c>
      <c r="F1241" s="397">
        <v>1441864000</v>
      </c>
      <c r="G1241" s="342">
        <f>+F1241/E1241*100</f>
        <v>99.438896551724142</v>
      </c>
      <c r="H1241" s="342">
        <v>98</v>
      </c>
      <c r="I1241" s="111"/>
    </row>
    <row r="1242" spans="3:9" ht="16.5" hidden="1" customHeight="1" x14ac:dyDescent="0.25">
      <c r="C1242" s="109"/>
      <c r="D1242" s="391" t="s">
        <v>1109</v>
      </c>
      <c r="E1242" s="397">
        <f>+E1243</f>
        <v>1450000000</v>
      </c>
      <c r="F1242" s="397">
        <v>1441864000</v>
      </c>
      <c r="G1242" s="342">
        <f>+F1242/E1242*100</f>
        <v>99.438896551724142</v>
      </c>
      <c r="H1242" s="342">
        <v>98</v>
      </c>
      <c r="I1242" s="111"/>
    </row>
    <row r="1243" spans="3:9" ht="16.5" hidden="1" customHeight="1" x14ac:dyDescent="0.2">
      <c r="C1243" s="109"/>
      <c r="D1243" s="394" t="s">
        <v>1110</v>
      </c>
      <c r="E1243" s="396">
        <v>1450000000</v>
      </c>
      <c r="F1243" s="401">
        <v>1441864000</v>
      </c>
      <c r="G1243" s="343">
        <f>+F1243/E1243*100</f>
        <v>99.438896551724142</v>
      </c>
      <c r="H1243" s="343">
        <v>98</v>
      </c>
      <c r="I1243" s="111"/>
    </row>
    <row r="1244" spans="3:9" ht="16.5" hidden="1" customHeight="1" x14ac:dyDescent="0.2">
      <c r="C1244" s="109"/>
      <c r="D1244" s="394"/>
      <c r="E1244" s="396"/>
      <c r="F1244" s="401">
        <v>0</v>
      </c>
      <c r="G1244" s="343"/>
      <c r="H1244" s="566"/>
      <c r="I1244" s="111"/>
    </row>
    <row r="1245" spans="3:9" ht="16.5" hidden="1" customHeight="1" x14ac:dyDescent="0.25">
      <c r="C1245" s="109"/>
      <c r="D1245" s="391" t="s">
        <v>1111</v>
      </c>
      <c r="E1245" s="397">
        <f>+E1246+E1249+E1251</f>
        <v>2776479440</v>
      </c>
      <c r="F1245" s="397">
        <v>2722377440</v>
      </c>
      <c r="G1245" s="343">
        <f t="shared" ref="G1245:G1252" si="72">+F1245/E1245*100</f>
        <v>98.05141722929524</v>
      </c>
      <c r="H1245" s="342">
        <f>(H1246+H1249+H1251)/3</f>
        <v>90.226666666666674</v>
      </c>
      <c r="I1245" s="111"/>
    </row>
    <row r="1246" spans="3:9" ht="16.5" hidden="1" customHeight="1" x14ac:dyDescent="0.25">
      <c r="C1246" s="109"/>
      <c r="D1246" s="391" t="s">
        <v>1112</v>
      </c>
      <c r="E1246" s="397">
        <f>E1247+E1248</f>
        <v>2254800000</v>
      </c>
      <c r="F1246" s="397">
        <v>2221648000</v>
      </c>
      <c r="G1246" s="342">
        <f t="shared" si="72"/>
        <v>98.529714387085335</v>
      </c>
      <c r="H1246" s="342">
        <f>SUM(H1247:H1248)/2</f>
        <v>100</v>
      </c>
      <c r="I1246" s="111"/>
    </row>
    <row r="1247" spans="3:9" ht="16.5" hidden="1" customHeight="1" x14ac:dyDescent="0.2">
      <c r="C1247" s="109"/>
      <c r="D1247" s="394" t="s">
        <v>1113</v>
      </c>
      <c r="E1247" s="396">
        <v>2054800000</v>
      </c>
      <c r="F1247" s="401">
        <v>2021798000</v>
      </c>
      <c r="G1247" s="343">
        <f t="shared" si="72"/>
        <v>98.393906949581464</v>
      </c>
      <c r="H1247" s="343">
        <v>100</v>
      </c>
      <c r="I1247" s="111"/>
    </row>
    <row r="1248" spans="3:9" ht="16.5" hidden="1" customHeight="1" x14ac:dyDescent="0.2">
      <c r="C1248" s="109"/>
      <c r="D1248" s="394" t="s">
        <v>1114</v>
      </c>
      <c r="E1248" s="396">
        <v>200000000</v>
      </c>
      <c r="F1248" s="401">
        <v>199850000</v>
      </c>
      <c r="G1248" s="343">
        <f t="shared" si="72"/>
        <v>99.924999999999997</v>
      </c>
      <c r="H1248" s="343">
        <v>100</v>
      </c>
      <c r="I1248" s="111"/>
    </row>
    <row r="1249" spans="3:9" ht="16.5" hidden="1" customHeight="1" x14ac:dyDescent="0.25">
      <c r="C1249" s="109"/>
      <c r="D1249" s="391" t="s">
        <v>1115</v>
      </c>
      <c r="E1249" s="397">
        <f>E1250</f>
        <v>303879440</v>
      </c>
      <c r="F1249" s="397">
        <v>303379440</v>
      </c>
      <c r="G1249" s="342">
        <f t="shared" si="72"/>
        <v>99.835461063111083</v>
      </c>
      <c r="H1249" s="342">
        <v>100</v>
      </c>
      <c r="I1249" s="111"/>
    </row>
    <row r="1250" spans="3:9" ht="16.5" hidden="1" customHeight="1" x14ac:dyDescent="0.25">
      <c r="C1250" s="109"/>
      <c r="D1250" s="394" t="s">
        <v>1116</v>
      </c>
      <c r="E1250" s="396">
        <v>303879440</v>
      </c>
      <c r="F1250" s="396">
        <v>303379440</v>
      </c>
      <c r="G1250" s="343">
        <f t="shared" si="72"/>
        <v>99.835461063111083</v>
      </c>
      <c r="H1250" s="343">
        <v>100</v>
      </c>
      <c r="I1250" s="111"/>
    </row>
    <row r="1251" spans="3:9" ht="16.5" hidden="1" customHeight="1" x14ac:dyDescent="0.25">
      <c r="C1251" s="109"/>
      <c r="D1251" s="391" t="s">
        <v>1117</v>
      </c>
      <c r="E1251" s="397">
        <f>E1252</f>
        <v>217800000</v>
      </c>
      <c r="F1251" s="397">
        <v>197350000</v>
      </c>
      <c r="G1251" s="342">
        <f t="shared" si="72"/>
        <v>90.610651974288331</v>
      </c>
      <c r="H1251" s="342">
        <v>70.680000000000007</v>
      </c>
      <c r="I1251" s="111"/>
    </row>
    <row r="1252" spans="3:9" ht="16.5" hidden="1" customHeight="1" x14ac:dyDescent="0.2">
      <c r="C1252" s="109"/>
      <c r="D1252" s="394" t="s">
        <v>1118</v>
      </c>
      <c r="E1252" s="396">
        <v>217800000</v>
      </c>
      <c r="F1252" s="401">
        <v>197350000</v>
      </c>
      <c r="G1252" s="343">
        <f t="shared" si="72"/>
        <v>90.610651974288331</v>
      </c>
      <c r="H1252" s="343">
        <v>70.680000000000007</v>
      </c>
      <c r="I1252" s="111"/>
    </row>
    <row r="1253" spans="3:9" ht="16.5" hidden="1" customHeight="1" x14ac:dyDescent="0.2">
      <c r="C1253" s="109"/>
      <c r="D1253" s="394"/>
      <c r="E1253" s="396"/>
      <c r="F1253" s="401">
        <v>0</v>
      </c>
      <c r="G1253" s="343"/>
      <c r="H1253" s="566"/>
      <c r="I1253" s="111"/>
    </row>
    <row r="1254" spans="3:9" ht="16.5" hidden="1" customHeight="1" x14ac:dyDescent="0.25">
      <c r="C1254" s="109"/>
      <c r="D1254" s="391" t="s">
        <v>1119</v>
      </c>
      <c r="E1254" s="397">
        <f>E1255</f>
        <v>1000000000</v>
      </c>
      <c r="F1254" s="397">
        <v>860000000</v>
      </c>
      <c r="G1254" s="342">
        <f>+F1254/E1254*100</f>
        <v>86</v>
      </c>
      <c r="H1254" s="342">
        <v>80</v>
      </c>
      <c r="I1254" s="111"/>
    </row>
    <row r="1255" spans="3:9" ht="16.5" hidden="1" customHeight="1" x14ac:dyDescent="0.25">
      <c r="C1255" s="109"/>
      <c r="D1255" s="391" t="s">
        <v>1120</v>
      </c>
      <c r="E1255" s="397">
        <f>E1256</f>
        <v>1000000000</v>
      </c>
      <c r="F1255" s="397">
        <v>860000000</v>
      </c>
      <c r="G1255" s="342">
        <f>+F1255/E1255*100</f>
        <v>86</v>
      </c>
      <c r="H1255" s="342">
        <v>80</v>
      </c>
      <c r="I1255" s="111"/>
    </row>
    <row r="1256" spans="3:9" ht="16.5" hidden="1" customHeight="1" x14ac:dyDescent="0.2">
      <c r="C1256" s="109"/>
      <c r="D1256" s="394" t="s">
        <v>1121</v>
      </c>
      <c r="E1256" s="396">
        <v>1000000000</v>
      </c>
      <c r="F1256" s="401">
        <v>860000000</v>
      </c>
      <c r="G1256" s="343">
        <f>+F1256/E1256*100</f>
        <v>86</v>
      </c>
      <c r="H1256" s="343">
        <v>80</v>
      </c>
      <c r="I1256" s="111"/>
    </row>
    <row r="1257" spans="3:9" ht="16.5" hidden="1" customHeight="1" x14ac:dyDescent="0.2">
      <c r="C1257" s="109"/>
      <c r="D1257" s="394"/>
      <c r="E1257" s="396"/>
      <c r="F1257" s="401">
        <v>0</v>
      </c>
      <c r="G1257" s="343"/>
      <c r="H1257" s="566"/>
      <c r="I1257" s="111"/>
    </row>
    <row r="1258" spans="3:9" ht="16.5" hidden="1" customHeight="1" x14ac:dyDescent="0.25">
      <c r="C1258" s="109"/>
      <c r="D1258" s="391" t="s">
        <v>1122</v>
      </c>
      <c r="E1258" s="397">
        <f>E1259</f>
        <v>1400200000</v>
      </c>
      <c r="F1258" s="397">
        <v>1298010000</v>
      </c>
      <c r="G1258" s="342">
        <f>+F1258/E1258*100</f>
        <v>92.701756891872591</v>
      </c>
      <c r="H1258" s="342">
        <v>90</v>
      </c>
      <c r="I1258" s="111"/>
    </row>
    <row r="1259" spans="3:9" ht="16.5" hidden="1" customHeight="1" x14ac:dyDescent="0.25">
      <c r="C1259" s="109"/>
      <c r="D1259" s="391" t="s">
        <v>899</v>
      </c>
      <c r="E1259" s="397">
        <f>E1260</f>
        <v>1400200000</v>
      </c>
      <c r="F1259" s="397">
        <v>1298010000</v>
      </c>
      <c r="G1259" s="342">
        <f>+F1259/E1259*100</f>
        <v>92.701756891872591</v>
      </c>
      <c r="H1259" s="342">
        <v>90</v>
      </c>
      <c r="I1259" s="111"/>
    </row>
    <row r="1260" spans="3:9" ht="16.5" hidden="1" customHeight="1" x14ac:dyDescent="0.2">
      <c r="C1260" s="109"/>
      <c r="D1260" s="394" t="s">
        <v>1123</v>
      </c>
      <c r="E1260" s="396">
        <v>1400200000</v>
      </c>
      <c r="F1260" s="401">
        <v>1298010000</v>
      </c>
      <c r="G1260" s="343">
        <f>+F1260/E1260*100</f>
        <v>92.701756891872591</v>
      </c>
      <c r="H1260" s="343">
        <v>90</v>
      </c>
      <c r="I1260" s="111"/>
    </row>
    <row r="1261" spans="3:9" ht="16.5" hidden="1" customHeight="1" x14ac:dyDescent="0.2">
      <c r="C1261" s="109"/>
      <c r="D1261" s="394"/>
      <c r="E1261" s="396"/>
      <c r="F1261" s="401">
        <v>0</v>
      </c>
      <c r="G1261" s="343"/>
      <c r="H1261" s="566"/>
      <c r="I1261" s="111"/>
    </row>
    <row r="1262" spans="3:9" ht="16.5" hidden="1" customHeight="1" x14ac:dyDescent="0.25">
      <c r="C1262" s="109"/>
      <c r="D1262" s="391" t="s">
        <v>1124</v>
      </c>
      <c r="E1262" s="397">
        <f>E1263</f>
        <v>100000000</v>
      </c>
      <c r="F1262" s="397">
        <v>200000000</v>
      </c>
      <c r="G1262" s="342">
        <f>+G1263</f>
        <v>100</v>
      </c>
      <c r="H1262" s="342">
        <v>100</v>
      </c>
      <c r="I1262" s="111"/>
    </row>
    <row r="1263" spans="3:9" ht="16.5" hidden="1" customHeight="1" x14ac:dyDescent="0.25">
      <c r="C1263" s="109"/>
      <c r="D1263" s="391" t="s">
        <v>874</v>
      </c>
      <c r="E1263" s="397">
        <f>E1264</f>
        <v>100000000</v>
      </c>
      <c r="F1263" s="397">
        <v>200000000</v>
      </c>
      <c r="G1263" s="342">
        <f>+G1264</f>
        <v>100</v>
      </c>
      <c r="H1263" s="342">
        <v>100</v>
      </c>
      <c r="I1263" s="111"/>
    </row>
    <row r="1264" spans="3:9" ht="16.5" hidden="1" customHeight="1" x14ac:dyDescent="0.2">
      <c r="C1264" s="109"/>
      <c r="D1264" s="394" t="s">
        <v>1125</v>
      </c>
      <c r="E1264" s="396">
        <v>100000000</v>
      </c>
      <c r="F1264" s="401">
        <v>100000000</v>
      </c>
      <c r="G1264" s="343">
        <f>+F1264/E1264*100</f>
        <v>100</v>
      </c>
      <c r="H1264" s="343">
        <v>100</v>
      </c>
      <c r="I1264" s="111"/>
    </row>
    <row r="1265" spans="3:9" ht="16.5" hidden="1" customHeight="1" x14ac:dyDescent="0.2">
      <c r="C1265" s="109"/>
      <c r="D1265" s="394"/>
      <c r="E1265" s="396"/>
      <c r="F1265" s="401">
        <v>0</v>
      </c>
      <c r="G1265" s="343"/>
      <c r="H1265" s="566"/>
      <c r="I1265" s="111"/>
    </row>
    <row r="1266" spans="3:9" ht="16.5" hidden="1" customHeight="1" x14ac:dyDescent="0.2">
      <c r="C1266" s="109"/>
      <c r="D1266" s="391" t="s">
        <v>1126</v>
      </c>
      <c r="E1266" s="397">
        <f>E1267+E1271+E1277</f>
        <v>18461994400</v>
      </c>
      <c r="F1266" s="397">
        <v>3911740000</v>
      </c>
      <c r="G1266" s="343">
        <f>+F1266/E1266*100</f>
        <v>21.188068392004279</v>
      </c>
      <c r="H1266" s="566"/>
      <c r="I1266" s="111"/>
    </row>
    <row r="1267" spans="3:9" ht="16.5" hidden="1" customHeight="1" x14ac:dyDescent="0.25">
      <c r="C1267" s="109"/>
      <c r="D1267" s="391" t="s">
        <v>1127</v>
      </c>
      <c r="E1267" s="397">
        <f>+E1268</f>
        <v>4000000000</v>
      </c>
      <c r="F1267" s="397">
        <v>3911740000</v>
      </c>
      <c r="G1267" s="342">
        <f>+F1267/E1267*100</f>
        <v>97.793499999999995</v>
      </c>
      <c r="H1267" s="342">
        <v>90</v>
      </c>
      <c r="I1267" s="111"/>
    </row>
    <row r="1268" spans="3:9" ht="16.5" hidden="1" customHeight="1" x14ac:dyDescent="0.25">
      <c r="C1268" s="109"/>
      <c r="D1268" s="391" t="s">
        <v>726</v>
      </c>
      <c r="E1268" s="397">
        <f>E1269</f>
        <v>4000000000</v>
      </c>
      <c r="F1268" s="397">
        <v>3911740000</v>
      </c>
      <c r="G1268" s="342">
        <f>+F1268/E1268*100</f>
        <v>97.793499999999995</v>
      </c>
      <c r="H1268" s="342">
        <v>90</v>
      </c>
      <c r="I1268" s="111"/>
    </row>
    <row r="1269" spans="3:9" ht="16.5" hidden="1" customHeight="1" x14ac:dyDescent="0.2">
      <c r="C1269" s="109"/>
      <c r="D1269" s="394" t="s">
        <v>1128</v>
      </c>
      <c r="E1269" s="396">
        <v>4000000000</v>
      </c>
      <c r="F1269" s="401">
        <v>3911740000</v>
      </c>
      <c r="G1269" s="343">
        <f>+F1269/E1269*100</f>
        <v>97.793499999999995</v>
      </c>
      <c r="H1269" s="343">
        <v>90</v>
      </c>
      <c r="I1269" s="111"/>
    </row>
    <row r="1270" spans="3:9" ht="16.5" hidden="1" customHeight="1" x14ac:dyDescent="0.2">
      <c r="C1270" s="109"/>
      <c r="D1270" s="394"/>
      <c r="E1270" s="396"/>
      <c r="F1270" s="401">
        <v>0</v>
      </c>
      <c r="G1270" s="343"/>
      <c r="H1270" s="566"/>
      <c r="I1270" s="111"/>
    </row>
    <row r="1271" spans="3:9" ht="16.5" hidden="1" customHeight="1" x14ac:dyDescent="0.25">
      <c r="C1271" s="109"/>
      <c r="D1271" s="391" t="s">
        <v>1129</v>
      </c>
      <c r="E1271" s="397">
        <f>E1272+E1274</f>
        <v>12461994400</v>
      </c>
      <c r="F1271" s="397">
        <v>9860109312</v>
      </c>
      <c r="G1271" s="342">
        <f>+F1271/E1271*100</f>
        <v>79.121439117321373</v>
      </c>
      <c r="H1271" s="342">
        <f>(H1272+H1274)/2</f>
        <v>81</v>
      </c>
      <c r="I1271" s="111"/>
    </row>
    <row r="1272" spans="3:9" ht="16.5" hidden="1" customHeight="1" x14ac:dyDescent="0.25">
      <c r="C1272" s="109"/>
      <c r="D1272" s="391" t="s">
        <v>1130</v>
      </c>
      <c r="E1272" s="397">
        <f>E1273</f>
        <v>11000000000</v>
      </c>
      <c r="F1272" s="397">
        <v>9860109312</v>
      </c>
      <c r="G1272" s="342">
        <f>+F1272/E1272*100</f>
        <v>89.637357381818177</v>
      </c>
      <c r="H1272" s="342">
        <v>82</v>
      </c>
      <c r="I1272" s="111"/>
    </row>
    <row r="1273" spans="3:9" ht="16.5" hidden="1" customHeight="1" x14ac:dyDescent="0.2">
      <c r="C1273" s="109"/>
      <c r="D1273" s="394" t="s">
        <v>1131</v>
      </c>
      <c r="E1273" s="396">
        <v>11000000000</v>
      </c>
      <c r="F1273" s="401">
        <v>9860109312</v>
      </c>
      <c r="G1273" s="343">
        <f>+F1273/E1273*100</f>
        <v>89.637357381818177</v>
      </c>
      <c r="H1273" s="343">
        <v>82</v>
      </c>
      <c r="I1273" s="111"/>
    </row>
    <row r="1274" spans="3:9" ht="16.5" hidden="1" customHeight="1" x14ac:dyDescent="0.25">
      <c r="C1274" s="109"/>
      <c r="D1274" s="391" t="s">
        <v>1132</v>
      </c>
      <c r="E1274" s="397">
        <f>E1275</f>
        <v>1461994400</v>
      </c>
      <c r="F1274" s="397">
        <v>1208637000</v>
      </c>
      <c r="G1274" s="342">
        <f>+F1274/E1274*100</f>
        <v>82.670426097391342</v>
      </c>
      <c r="H1274" s="342">
        <v>80</v>
      </c>
      <c r="I1274" s="111"/>
    </row>
    <row r="1275" spans="3:9" ht="16.5" hidden="1" customHeight="1" x14ac:dyDescent="0.25">
      <c r="C1275" s="109"/>
      <c r="D1275" s="394" t="s">
        <v>1133</v>
      </c>
      <c r="E1275" s="396">
        <v>1461994400</v>
      </c>
      <c r="F1275" s="396">
        <v>1208637000</v>
      </c>
      <c r="G1275" s="343">
        <f>+F1275/E1275*100</f>
        <v>82.670426097391342</v>
      </c>
      <c r="H1275" s="343">
        <v>80</v>
      </c>
      <c r="I1275" s="111"/>
    </row>
    <row r="1276" spans="3:9" ht="16.5" hidden="1" customHeight="1" x14ac:dyDescent="0.2">
      <c r="C1276" s="109"/>
      <c r="D1276" s="394"/>
      <c r="E1276" s="396"/>
      <c r="F1276" s="401">
        <v>0</v>
      </c>
      <c r="G1276" s="343"/>
      <c r="H1276" s="566"/>
      <c r="I1276" s="111"/>
    </row>
    <row r="1277" spans="3:9" ht="16.5" hidden="1" customHeight="1" x14ac:dyDescent="0.25">
      <c r="C1277" s="109"/>
      <c r="D1277" s="391" t="s">
        <v>1134</v>
      </c>
      <c r="E1277" s="397">
        <f>E1278</f>
        <v>2000000000</v>
      </c>
      <c r="F1277" s="397">
        <v>558419400</v>
      </c>
      <c r="G1277" s="342">
        <f>+F1277/E1277*100</f>
        <v>27.920970000000001</v>
      </c>
      <c r="H1277" s="342">
        <v>50</v>
      </c>
      <c r="I1277" s="111"/>
    </row>
    <row r="1278" spans="3:9" ht="16.5" hidden="1" customHeight="1" x14ac:dyDescent="0.25">
      <c r="C1278" s="109"/>
      <c r="D1278" s="391" t="s">
        <v>1135</v>
      </c>
      <c r="E1278" s="397">
        <f>E1279</f>
        <v>2000000000</v>
      </c>
      <c r="F1278" s="397">
        <v>558419400</v>
      </c>
      <c r="G1278" s="342">
        <f>+F1278/E1278*100</f>
        <v>27.920970000000001</v>
      </c>
      <c r="H1278" s="342">
        <v>50</v>
      </c>
      <c r="I1278" s="111"/>
    </row>
    <row r="1279" spans="3:9" ht="16.5" hidden="1" customHeight="1" x14ac:dyDescent="0.2">
      <c r="C1279" s="109"/>
      <c r="D1279" s="394" t="s">
        <v>1136</v>
      </c>
      <c r="E1279" s="396">
        <v>2000000000</v>
      </c>
      <c r="F1279" s="401">
        <v>558419400</v>
      </c>
      <c r="G1279" s="343">
        <f>+F1279/E1279*100</f>
        <v>27.920970000000001</v>
      </c>
      <c r="H1279" s="343">
        <v>50</v>
      </c>
      <c r="I1279" s="111"/>
    </row>
    <row r="1280" spans="3:9" ht="16.5" hidden="1" customHeight="1" x14ac:dyDescent="0.2">
      <c r="C1280" s="109"/>
      <c r="D1280" s="394"/>
      <c r="E1280" s="396"/>
      <c r="F1280" s="401">
        <v>0</v>
      </c>
      <c r="G1280" s="343"/>
      <c r="H1280" s="566"/>
      <c r="I1280" s="111"/>
    </row>
    <row r="1281" spans="3:9" ht="16.5" hidden="1" customHeight="1" x14ac:dyDescent="0.25">
      <c r="C1281" s="109"/>
      <c r="D1281" s="391" t="s">
        <v>1137</v>
      </c>
      <c r="E1281" s="397">
        <f>E1282</f>
        <v>12503820000</v>
      </c>
      <c r="F1281" s="397">
        <v>12344085000</v>
      </c>
      <c r="G1281" s="342">
        <f t="shared" ref="G1281:G1290" si="73">+F1281/E1281*100</f>
        <v>98.722510400821506</v>
      </c>
      <c r="H1281" s="342">
        <f t="shared" ref="H1281:H1282" si="74">SUM(H1282:H1288)/7</f>
        <v>99.626822157434404</v>
      </c>
      <c r="I1281" s="111"/>
    </row>
    <row r="1282" spans="3:9" ht="16.5" hidden="1" customHeight="1" x14ac:dyDescent="0.25">
      <c r="C1282" s="109"/>
      <c r="D1282" s="391" t="s">
        <v>1138</v>
      </c>
      <c r="E1282" s="397">
        <f>E1283</f>
        <v>12503820000</v>
      </c>
      <c r="F1282" s="397">
        <v>12344085000</v>
      </c>
      <c r="G1282" s="342">
        <f t="shared" si="73"/>
        <v>98.722510400821506</v>
      </c>
      <c r="H1282" s="342">
        <f t="shared" si="74"/>
        <v>99.673469387755105</v>
      </c>
      <c r="I1282" s="111"/>
    </row>
    <row r="1283" spans="3:9" ht="16.5" hidden="1" customHeight="1" x14ac:dyDescent="0.25">
      <c r="C1283" s="109"/>
      <c r="D1283" s="391" t="s">
        <v>1139</v>
      </c>
      <c r="E1283" s="397">
        <f>E1284+E1285+E1286+E1287+E1288+E1289+E1290</f>
        <v>12503820000</v>
      </c>
      <c r="F1283" s="397">
        <v>12344085000</v>
      </c>
      <c r="G1283" s="342">
        <f t="shared" si="73"/>
        <v>98.722510400821506</v>
      </c>
      <c r="H1283" s="342">
        <f>SUM(H1284:H1290)/7</f>
        <v>99.714285714285708</v>
      </c>
      <c r="I1283" s="111"/>
    </row>
    <row r="1284" spans="3:9" ht="16.5" hidden="1" customHeight="1" x14ac:dyDescent="0.2">
      <c r="C1284" s="109"/>
      <c r="D1284" s="404" t="s">
        <v>1140</v>
      </c>
      <c r="E1284" s="398">
        <v>1113675000</v>
      </c>
      <c r="F1284" s="403">
        <v>1113675000</v>
      </c>
      <c r="G1284" s="343">
        <f t="shared" si="73"/>
        <v>100</v>
      </c>
      <c r="H1284" s="343">
        <v>100</v>
      </c>
      <c r="I1284" s="111"/>
    </row>
    <row r="1285" spans="3:9" ht="16.5" hidden="1" customHeight="1" x14ac:dyDescent="0.2">
      <c r="C1285" s="109"/>
      <c r="D1285" s="404" t="s">
        <v>1141</v>
      </c>
      <c r="E1285" s="398">
        <v>451200000</v>
      </c>
      <c r="F1285" s="403">
        <v>451200000</v>
      </c>
      <c r="G1285" s="343">
        <f t="shared" si="73"/>
        <v>100</v>
      </c>
      <c r="H1285" s="343">
        <v>100</v>
      </c>
      <c r="I1285" s="111"/>
    </row>
    <row r="1286" spans="3:9" ht="16.5" hidden="1" customHeight="1" x14ac:dyDescent="0.2">
      <c r="C1286" s="109"/>
      <c r="D1286" s="404" t="s">
        <v>1142</v>
      </c>
      <c r="E1286" s="398">
        <v>334800000</v>
      </c>
      <c r="F1286" s="403">
        <v>334800000</v>
      </c>
      <c r="G1286" s="343">
        <f t="shared" si="73"/>
        <v>100</v>
      </c>
      <c r="H1286" s="343">
        <v>100</v>
      </c>
      <c r="I1286" s="111"/>
    </row>
    <row r="1287" spans="3:9" ht="16.5" hidden="1" customHeight="1" x14ac:dyDescent="0.2">
      <c r="C1287" s="109"/>
      <c r="D1287" s="404" t="s">
        <v>1143</v>
      </c>
      <c r="E1287" s="398">
        <v>4384145000</v>
      </c>
      <c r="F1287" s="403">
        <v>4322410000</v>
      </c>
      <c r="G1287" s="343">
        <f t="shared" si="73"/>
        <v>98.591857705436297</v>
      </c>
      <c r="H1287" s="343">
        <v>100</v>
      </c>
      <c r="I1287" s="111"/>
    </row>
    <row r="1288" spans="3:9" ht="16.5" hidden="1" customHeight="1" x14ac:dyDescent="0.2">
      <c r="C1288" s="109"/>
      <c r="D1288" s="394" t="s">
        <v>1144</v>
      </c>
      <c r="E1288" s="396">
        <v>3420000000</v>
      </c>
      <c r="F1288" s="401">
        <v>3322000000</v>
      </c>
      <c r="G1288" s="343">
        <f t="shared" si="73"/>
        <v>97.134502923976612</v>
      </c>
      <c r="H1288" s="343">
        <v>98</v>
      </c>
      <c r="I1288" s="111"/>
    </row>
    <row r="1289" spans="3:9" ht="16.5" hidden="1" customHeight="1" x14ac:dyDescent="0.2">
      <c r="C1289" s="109"/>
      <c r="D1289" s="394" t="s">
        <v>1145</v>
      </c>
      <c r="E1289" s="396">
        <v>1800000000</v>
      </c>
      <c r="F1289" s="401">
        <v>1800000000</v>
      </c>
      <c r="G1289" s="343">
        <f t="shared" si="73"/>
        <v>100</v>
      </c>
      <c r="H1289" s="343">
        <v>100</v>
      </c>
      <c r="I1289" s="111"/>
    </row>
    <row r="1290" spans="3:9" ht="16.5" hidden="1" customHeight="1" x14ac:dyDescent="0.2">
      <c r="C1290" s="109"/>
      <c r="D1290" s="394" t="s">
        <v>1146</v>
      </c>
      <c r="E1290" s="396">
        <v>1000000000</v>
      </c>
      <c r="F1290" s="401">
        <v>1000000000</v>
      </c>
      <c r="G1290" s="343">
        <f t="shared" si="73"/>
        <v>100</v>
      </c>
      <c r="H1290" s="343">
        <v>100</v>
      </c>
      <c r="I1290" s="111"/>
    </row>
    <row r="1291" spans="3:9" ht="16.5" hidden="1" customHeight="1" x14ac:dyDescent="0.2">
      <c r="C1291" s="109"/>
      <c r="D1291" s="394"/>
      <c r="E1291" s="396"/>
      <c r="F1291" s="401">
        <v>0</v>
      </c>
      <c r="G1291" s="343"/>
      <c r="H1291" s="566"/>
      <c r="I1291" s="111"/>
    </row>
    <row r="1292" spans="3:9" ht="16.5" hidden="1" customHeight="1" x14ac:dyDescent="0.25">
      <c r="C1292" s="109"/>
      <c r="D1292" s="391" t="s">
        <v>1147</v>
      </c>
      <c r="E1292" s="397">
        <f>E1293+E1298</f>
        <v>2066717760</v>
      </c>
      <c r="F1292" s="397">
        <v>1941225236</v>
      </c>
      <c r="G1292" s="342">
        <f>+F1292/E1292*100</f>
        <v>93.927931213984436</v>
      </c>
      <c r="H1292" s="342">
        <v>98</v>
      </c>
      <c r="I1292" s="111"/>
    </row>
    <row r="1293" spans="3:9" ht="16.5" hidden="1" customHeight="1" x14ac:dyDescent="0.25">
      <c r="C1293" s="109"/>
      <c r="D1293" s="391" t="s">
        <v>1148</v>
      </c>
      <c r="E1293" s="397">
        <f>E1294+E1297</f>
        <v>1566717760</v>
      </c>
      <c r="F1293" s="397">
        <v>1532878636</v>
      </c>
      <c r="G1293" s="342">
        <f>+F1293/E1293*100</f>
        <v>97.840126354347319</v>
      </c>
      <c r="H1293" s="342">
        <v>98</v>
      </c>
      <c r="I1293" s="111"/>
    </row>
    <row r="1294" spans="3:9" ht="16.5" hidden="1" customHeight="1" x14ac:dyDescent="0.25">
      <c r="C1294" s="109"/>
      <c r="D1294" s="391" t="s">
        <v>1149</v>
      </c>
      <c r="E1294" s="397">
        <f>E1295+E1296</f>
        <v>1566717760</v>
      </c>
      <c r="F1294" s="397">
        <v>1532878636</v>
      </c>
      <c r="G1294" s="342">
        <f>+F1294/E1294*100</f>
        <v>97.840126354347319</v>
      </c>
      <c r="H1294" s="342">
        <v>98</v>
      </c>
      <c r="I1294" s="111"/>
    </row>
    <row r="1295" spans="3:9" ht="16.5" hidden="1" customHeight="1" x14ac:dyDescent="0.2">
      <c r="C1295" s="109"/>
      <c r="D1295" s="394" t="s">
        <v>1150</v>
      </c>
      <c r="E1295" s="396">
        <v>1389106610</v>
      </c>
      <c r="F1295" s="401">
        <v>1362583086</v>
      </c>
      <c r="G1295" s="343">
        <f>+F1295/E1295*100</f>
        <v>98.090605587140644</v>
      </c>
      <c r="H1295" s="343">
        <v>98</v>
      </c>
      <c r="I1295" s="111"/>
    </row>
    <row r="1296" spans="3:9" ht="16.5" hidden="1" customHeight="1" x14ac:dyDescent="0.2">
      <c r="C1296" s="109"/>
      <c r="D1296" s="394" t="s">
        <v>1151</v>
      </c>
      <c r="E1296" s="396">
        <v>177611150</v>
      </c>
      <c r="F1296" s="401">
        <v>170295550</v>
      </c>
      <c r="G1296" s="343">
        <f>+F1296/E1296*100</f>
        <v>95.881114445799156</v>
      </c>
      <c r="H1296" s="343">
        <v>98</v>
      </c>
      <c r="I1296" s="111"/>
    </row>
    <row r="1297" spans="3:9" ht="16.5" hidden="1" customHeight="1" x14ac:dyDescent="0.2">
      <c r="C1297" s="109"/>
      <c r="D1297" s="394"/>
      <c r="E1297" s="396"/>
      <c r="F1297" s="401">
        <v>0</v>
      </c>
      <c r="G1297" s="343"/>
      <c r="H1297" s="566"/>
      <c r="I1297" s="111"/>
    </row>
    <row r="1298" spans="3:9" ht="16.5" hidden="1" customHeight="1" x14ac:dyDescent="0.25">
      <c r="C1298" s="109"/>
      <c r="D1298" s="391" t="s">
        <v>1152</v>
      </c>
      <c r="E1298" s="397">
        <f>E1299</f>
        <v>500000000</v>
      </c>
      <c r="F1298" s="397">
        <v>408346600</v>
      </c>
      <c r="G1298" s="342">
        <f>+F1298/E1298*100</f>
        <v>81.669319999999999</v>
      </c>
      <c r="H1298" s="342">
        <v>98</v>
      </c>
      <c r="I1298" s="111"/>
    </row>
    <row r="1299" spans="3:9" ht="16.5" hidden="1" customHeight="1" x14ac:dyDescent="0.25">
      <c r="C1299" s="109"/>
      <c r="D1299" s="391" t="s">
        <v>1153</v>
      </c>
      <c r="E1299" s="397">
        <f>E1300</f>
        <v>500000000</v>
      </c>
      <c r="F1299" s="397">
        <v>408346600</v>
      </c>
      <c r="G1299" s="342">
        <f>+F1299/E1299*100</f>
        <v>81.669319999999999</v>
      </c>
      <c r="H1299" s="342">
        <v>98</v>
      </c>
      <c r="I1299" s="111"/>
    </row>
    <row r="1300" spans="3:9" ht="16.5" hidden="1" customHeight="1" x14ac:dyDescent="0.2">
      <c r="C1300" s="109"/>
      <c r="D1300" s="394" t="s">
        <v>1154</v>
      </c>
      <c r="E1300" s="396">
        <v>500000000</v>
      </c>
      <c r="F1300" s="401">
        <v>408346600</v>
      </c>
      <c r="G1300" s="343">
        <f>+F1300/E1300*100</f>
        <v>81.669319999999999</v>
      </c>
      <c r="H1300" s="343">
        <v>98</v>
      </c>
      <c r="I1300" s="111"/>
    </row>
    <row r="1301" spans="3:9" ht="16.5" hidden="1" customHeight="1" x14ac:dyDescent="0.25">
      <c r="C1301" s="109"/>
      <c r="D1301" s="111"/>
      <c r="E1301" s="116"/>
      <c r="F1301" s="108"/>
      <c r="G1301" s="117"/>
      <c r="H1301" s="117"/>
      <c r="I1301" s="111"/>
    </row>
    <row r="1302" spans="3:9" s="115" customFormat="1" ht="16.5" customHeight="1" x14ac:dyDescent="0.25">
      <c r="C1302" s="222" t="s">
        <v>1155</v>
      </c>
      <c r="D1302" s="248" t="s">
        <v>1156</v>
      </c>
      <c r="E1302" s="125">
        <f>E1303+E1366+E1409+E1416+E1421+E1430+E1437+E1449+E1459+E1465+E1471+E1482+E1491+E1499+E1507+E1515+E1526+E1541+E1548+E1557+E1562+E1573</f>
        <v>100989297000</v>
      </c>
      <c r="F1302" s="113">
        <f>F1304+F1367+F1405+F1410+F1431+F1438+F1450+F1460+F1472+F1516+F1527+F1534+F1549+F1558+F1563+F1574</f>
        <v>64208651034</v>
      </c>
      <c r="G1302" s="114">
        <f>+F1302/E1302*100</f>
        <v>63.5796593712302</v>
      </c>
      <c r="H1302" s="114">
        <f>(H1304+H1367+H1405+H1410+H1431+H1438+H1450+H1417+H1422+H1460+H1466+H1472++H1483+H1492+H1500+H1508+H1542+H1516+H1527+H1534+H1549+H1558+H1563+H1574)/24</f>
        <v>89.866794919133909</v>
      </c>
      <c r="I1302" s="121"/>
    </row>
    <row r="1303" spans="3:9" s="115" customFormat="1" ht="16.5" hidden="1" customHeight="1" x14ac:dyDescent="0.25">
      <c r="C1303" s="222"/>
      <c r="D1303" s="249" t="s">
        <v>1157</v>
      </c>
      <c r="E1303" s="195">
        <v>26296789100</v>
      </c>
      <c r="F1303" s="113">
        <f>F1304</f>
        <v>25541635900</v>
      </c>
      <c r="G1303" s="114">
        <f>+F1303/E1303*100</f>
        <v>97.128344463925444</v>
      </c>
      <c r="H1303" s="405">
        <f>H1304</f>
        <v>88.06236559139785</v>
      </c>
      <c r="I1303" s="121"/>
    </row>
    <row r="1304" spans="3:9" s="115" customFormat="1" ht="16.5" hidden="1" customHeight="1" x14ac:dyDescent="0.25">
      <c r="C1304" s="222"/>
      <c r="D1304" s="249" t="s">
        <v>82</v>
      </c>
      <c r="E1304" s="195">
        <f>E1305+E1314+E1346+E1355+E1361</f>
        <v>26296789100</v>
      </c>
      <c r="F1304" s="113">
        <f>F1305+F1314+F1346+F1355+F1361</f>
        <v>25541635900</v>
      </c>
      <c r="G1304" s="405">
        <f>F1304/E1304*100</f>
        <v>97.128344463925444</v>
      </c>
      <c r="H1304" s="405">
        <f>(H1305+H1314+H1346+H1355+H1361)/5</f>
        <v>88.06236559139785</v>
      </c>
      <c r="I1304" s="121"/>
    </row>
    <row r="1305" spans="3:9" ht="16.5" hidden="1" customHeight="1" x14ac:dyDescent="0.25">
      <c r="C1305" s="226"/>
      <c r="D1305" s="249" t="s">
        <v>797</v>
      </c>
      <c r="E1305" s="116">
        <v>4105400000</v>
      </c>
      <c r="F1305" s="220">
        <v>4096783000</v>
      </c>
      <c r="G1305" s="405">
        <v>99.790105714424897</v>
      </c>
      <c r="H1305" s="405">
        <f>(SUM(H1306:H1313))/8</f>
        <v>100</v>
      </c>
      <c r="I1305" s="111"/>
    </row>
    <row r="1306" spans="3:9" ht="16.5" hidden="1" customHeight="1" x14ac:dyDescent="0.25">
      <c r="C1306" s="226"/>
      <c r="D1306" s="118" t="s">
        <v>1158</v>
      </c>
      <c r="E1306" s="116">
        <v>870000000</v>
      </c>
      <c r="F1306" s="221">
        <v>869908000</v>
      </c>
      <c r="G1306" s="406">
        <v>99.989425287356326</v>
      </c>
      <c r="H1306" s="407">
        <v>100</v>
      </c>
      <c r="I1306" s="111"/>
    </row>
    <row r="1307" spans="3:9" ht="16.5" hidden="1" customHeight="1" x14ac:dyDescent="0.25">
      <c r="C1307" s="226"/>
      <c r="D1307" s="118" t="s">
        <v>1159</v>
      </c>
      <c r="E1307" s="116">
        <v>120000000</v>
      </c>
      <c r="F1307" s="221">
        <v>116600000</v>
      </c>
      <c r="G1307" s="406">
        <v>97.166666666666671</v>
      </c>
      <c r="H1307" s="407">
        <v>100</v>
      </c>
      <c r="I1307" s="111"/>
    </row>
    <row r="1308" spans="3:9" ht="16.5" hidden="1" customHeight="1" x14ac:dyDescent="0.25">
      <c r="C1308" s="226"/>
      <c r="D1308" s="118" t="s">
        <v>1160</v>
      </c>
      <c r="E1308" s="116">
        <v>480000000</v>
      </c>
      <c r="F1308" s="221">
        <v>480000000</v>
      </c>
      <c r="G1308" s="406">
        <v>100</v>
      </c>
      <c r="H1308" s="407">
        <v>100</v>
      </c>
      <c r="I1308" s="111"/>
    </row>
    <row r="1309" spans="3:9" ht="16.5" hidden="1" customHeight="1" x14ac:dyDescent="0.25">
      <c r="C1309" s="226"/>
      <c r="D1309" s="118" t="s">
        <v>1161</v>
      </c>
      <c r="E1309" s="116">
        <v>150000000</v>
      </c>
      <c r="F1309" s="221">
        <v>150000000</v>
      </c>
      <c r="G1309" s="406">
        <v>100</v>
      </c>
      <c r="H1309" s="407">
        <v>100</v>
      </c>
      <c r="I1309" s="111"/>
    </row>
    <row r="1310" spans="3:9" ht="18.75" hidden="1" customHeight="1" x14ac:dyDescent="0.25">
      <c r="C1310" s="226"/>
      <c r="D1310" s="118" t="s">
        <v>1162</v>
      </c>
      <c r="E1310" s="116">
        <v>695000000</v>
      </c>
      <c r="F1310" s="221">
        <v>694475000</v>
      </c>
      <c r="G1310" s="406">
        <v>99.924460431654666</v>
      </c>
      <c r="H1310" s="407">
        <v>100</v>
      </c>
      <c r="I1310" s="111"/>
    </row>
    <row r="1311" spans="3:9" ht="42.75" hidden="1" customHeight="1" x14ac:dyDescent="0.25">
      <c r="C1311" s="226"/>
      <c r="D1311" s="118" t="s">
        <v>1163</v>
      </c>
      <c r="E1311" s="116">
        <v>238400000</v>
      </c>
      <c r="F1311" s="221">
        <v>238300000</v>
      </c>
      <c r="G1311" s="406">
        <v>99.958053691275168</v>
      </c>
      <c r="H1311" s="407">
        <v>100</v>
      </c>
      <c r="I1311" s="111"/>
    </row>
    <row r="1312" spans="3:9" ht="16.5" hidden="1" customHeight="1" x14ac:dyDescent="0.25">
      <c r="C1312" s="226"/>
      <c r="D1312" s="118" t="s">
        <v>1164</v>
      </c>
      <c r="E1312" s="116">
        <v>280000000</v>
      </c>
      <c r="F1312" s="221">
        <v>279500000</v>
      </c>
      <c r="G1312" s="406">
        <v>99.821428571428569</v>
      </c>
      <c r="H1312" s="407">
        <v>100</v>
      </c>
      <c r="I1312" s="111"/>
    </row>
    <row r="1313" spans="3:9" ht="16.5" hidden="1" customHeight="1" x14ac:dyDescent="0.25">
      <c r="C1313" s="226"/>
      <c r="D1313" s="118" t="s">
        <v>1165</v>
      </c>
      <c r="E1313" s="116">
        <v>1272000000</v>
      </c>
      <c r="F1313" s="221">
        <v>1268000000</v>
      </c>
      <c r="G1313" s="406">
        <v>99.685534591194966</v>
      </c>
      <c r="H1313" s="407">
        <v>100</v>
      </c>
      <c r="I1313" s="111"/>
    </row>
    <row r="1314" spans="3:9" ht="16.5" hidden="1" customHeight="1" x14ac:dyDescent="0.25">
      <c r="C1314" s="226"/>
      <c r="D1314" s="249" t="s">
        <v>680</v>
      </c>
      <c r="E1314" s="195">
        <v>16987389100</v>
      </c>
      <c r="F1314" s="220">
        <v>16528544000</v>
      </c>
      <c r="G1314" s="405">
        <f t="shared" ref="G1314:G1345" si="75">F1314/E1314*100</f>
        <v>97.298907458356851</v>
      </c>
      <c r="H1314" s="405">
        <f>(SUM(H1315:H1345))/31</f>
        <v>95.645161290322577</v>
      </c>
      <c r="I1314" s="111"/>
    </row>
    <row r="1315" spans="3:9" ht="16.5" hidden="1" customHeight="1" x14ac:dyDescent="0.25">
      <c r="C1315" s="226"/>
      <c r="D1315" s="118" t="s">
        <v>1166</v>
      </c>
      <c r="E1315" s="116">
        <v>1000000000</v>
      </c>
      <c r="F1315" s="221">
        <v>999200000</v>
      </c>
      <c r="G1315" s="406">
        <f t="shared" si="75"/>
        <v>99.92</v>
      </c>
      <c r="H1315" s="407">
        <v>100</v>
      </c>
      <c r="I1315" s="111"/>
    </row>
    <row r="1316" spans="3:9" ht="16.5" hidden="1" customHeight="1" x14ac:dyDescent="0.25">
      <c r="C1316" s="226"/>
      <c r="D1316" s="118" t="s">
        <v>1167</v>
      </c>
      <c r="E1316" s="116">
        <v>2250000000</v>
      </c>
      <c r="F1316" s="221">
        <v>2250000000</v>
      </c>
      <c r="G1316" s="406">
        <f t="shared" si="75"/>
        <v>100</v>
      </c>
      <c r="H1316" s="407">
        <v>100</v>
      </c>
      <c r="I1316" s="111"/>
    </row>
    <row r="1317" spans="3:9" ht="18.75" hidden="1" customHeight="1" x14ac:dyDescent="0.25">
      <c r="C1317" s="226"/>
      <c r="D1317" s="118" t="s">
        <v>1168</v>
      </c>
      <c r="E1317" s="116">
        <v>100000000</v>
      </c>
      <c r="F1317" s="221">
        <v>87300000</v>
      </c>
      <c r="G1317" s="406">
        <f t="shared" si="75"/>
        <v>87.3</v>
      </c>
      <c r="H1317" s="407">
        <v>90</v>
      </c>
      <c r="I1317" s="111"/>
    </row>
    <row r="1318" spans="3:9" ht="42.75" hidden="1" customHeight="1" x14ac:dyDescent="0.25">
      <c r="C1318" s="226"/>
      <c r="D1318" s="118" t="s">
        <v>1169</v>
      </c>
      <c r="E1318" s="116">
        <v>100000000</v>
      </c>
      <c r="F1318" s="221">
        <v>99800000</v>
      </c>
      <c r="G1318" s="406">
        <f t="shared" si="75"/>
        <v>99.8</v>
      </c>
      <c r="H1318" s="407">
        <v>100</v>
      </c>
      <c r="I1318" s="111"/>
    </row>
    <row r="1319" spans="3:9" ht="42.75" hidden="1" customHeight="1" x14ac:dyDescent="0.25">
      <c r="C1319" s="226"/>
      <c r="D1319" s="118" t="s">
        <v>1170</v>
      </c>
      <c r="E1319" s="116">
        <v>481500000</v>
      </c>
      <c r="F1319" s="221">
        <v>481500000</v>
      </c>
      <c r="G1319" s="406">
        <f t="shared" si="75"/>
        <v>100</v>
      </c>
      <c r="H1319" s="407">
        <v>100</v>
      </c>
      <c r="I1319" s="111"/>
    </row>
    <row r="1320" spans="3:9" ht="42.75" hidden="1" customHeight="1" x14ac:dyDescent="0.25">
      <c r="C1320" s="226"/>
      <c r="D1320" s="118" t="s">
        <v>1171</v>
      </c>
      <c r="E1320" s="116">
        <v>450000000</v>
      </c>
      <c r="F1320" s="221">
        <v>449750000</v>
      </c>
      <c r="G1320" s="406">
        <f t="shared" si="75"/>
        <v>99.944444444444443</v>
      </c>
      <c r="H1320" s="407">
        <v>100</v>
      </c>
      <c r="I1320" s="111"/>
    </row>
    <row r="1321" spans="3:9" ht="16.5" hidden="1" customHeight="1" x14ac:dyDescent="0.25">
      <c r="C1321" s="226"/>
      <c r="D1321" s="118" t="s">
        <v>1172</v>
      </c>
      <c r="E1321" s="116">
        <v>2619200000</v>
      </c>
      <c r="F1321" s="221">
        <v>2571600000</v>
      </c>
      <c r="G1321" s="406">
        <f t="shared" si="75"/>
        <v>98.182651191203419</v>
      </c>
      <c r="H1321" s="407">
        <v>100</v>
      </c>
      <c r="I1321" s="111"/>
    </row>
    <row r="1322" spans="3:9" ht="16.5" hidden="1" customHeight="1" x14ac:dyDescent="0.25">
      <c r="C1322" s="226"/>
      <c r="D1322" s="118" t="s">
        <v>1173</v>
      </c>
      <c r="E1322" s="116">
        <v>2057300000</v>
      </c>
      <c r="F1322" s="221">
        <v>2054300000</v>
      </c>
      <c r="G1322" s="406">
        <f t="shared" si="75"/>
        <v>99.854177805862051</v>
      </c>
      <c r="H1322" s="407">
        <v>100</v>
      </c>
      <c r="I1322" s="111"/>
    </row>
    <row r="1323" spans="3:9" ht="16.5" hidden="1" customHeight="1" x14ac:dyDescent="0.25">
      <c r="C1323" s="226"/>
      <c r="D1323" s="118" t="s">
        <v>1174</v>
      </c>
      <c r="E1323" s="116">
        <v>350000000</v>
      </c>
      <c r="F1323" s="221">
        <v>349986000</v>
      </c>
      <c r="G1323" s="406">
        <f t="shared" si="75"/>
        <v>99.995999999999995</v>
      </c>
      <c r="H1323" s="407">
        <v>100</v>
      </c>
      <c r="I1323" s="111"/>
    </row>
    <row r="1324" spans="3:9" ht="16.5" hidden="1" customHeight="1" x14ac:dyDescent="0.25">
      <c r="C1324" s="226"/>
      <c r="D1324" s="118" t="s">
        <v>1175</v>
      </c>
      <c r="E1324" s="116">
        <v>100000000</v>
      </c>
      <c r="F1324" s="221">
        <v>74080000</v>
      </c>
      <c r="G1324" s="406">
        <f t="shared" si="75"/>
        <v>74.08</v>
      </c>
      <c r="H1324" s="407">
        <v>100</v>
      </c>
      <c r="I1324" s="111"/>
    </row>
    <row r="1325" spans="3:9" ht="16.5" hidden="1" customHeight="1" x14ac:dyDescent="0.25">
      <c r="C1325" s="226"/>
      <c r="D1325" s="118" t="s">
        <v>1176</v>
      </c>
      <c r="E1325" s="116">
        <v>150000000</v>
      </c>
      <c r="F1325" s="221">
        <v>74300000</v>
      </c>
      <c r="G1325" s="406">
        <f t="shared" si="75"/>
        <v>49.533333333333331</v>
      </c>
      <c r="H1325" s="407">
        <v>100</v>
      </c>
      <c r="I1325" s="111"/>
    </row>
    <row r="1326" spans="3:9" ht="16.5" hidden="1" customHeight="1" x14ac:dyDescent="0.25">
      <c r="C1326" s="226"/>
      <c r="D1326" s="118" t="s">
        <v>1177</v>
      </c>
      <c r="E1326" s="116">
        <v>150000000</v>
      </c>
      <c r="F1326" s="221">
        <v>74300000</v>
      </c>
      <c r="G1326" s="406">
        <f t="shared" si="75"/>
        <v>49.533333333333331</v>
      </c>
      <c r="H1326" s="407">
        <v>100</v>
      </c>
      <c r="I1326" s="111"/>
    </row>
    <row r="1327" spans="3:9" ht="16.5" hidden="1" customHeight="1" x14ac:dyDescent="0.25">
      <c r="C1327" s="226"/>
      <c r="D1327" s="118" t="s">
        <v>1175</v>
      </c>
      <c r="E1327" s="116">
        <v>100000000</v>
      </c>
      <c r="F1327" s="221">
        <v>88350000</v>
      </c>
      <c r="G1327" s="406">
        <f t="shared" si="75"/>
        <v>88.35</v>
      </c>
      <c r="H1327" s="407">
        <v>100</v>
      </c>
      <c r="I1327" s="111"/>
    </row>
    <row r="1328" spans="3:9" ht="16.5" hidden="1" customHeight="1" x14ac:dyDescent="0.25">
      <c r="C1328" s="226"/>
      <c r="D1328" s="118" t="s">
        <v>1176</v>
      </c>
      <c r="E1328" s="116">
        <v>90000000</v>
      </c>
      <c r="F1328" s="221">
        <v>86800000</v>
      </c>
      <c r="G1328" s="406">
        <f t="shared" si="75"/>
        <v>96.444444444444443</v>
      </c>
      <c r="H1328" s="407">
        <v>100</v>
      </c>
      <c r="I1328" s="111"/>
    </row>
    <row r="1329" spans="3:9" ht="16.5" hidden="1" customHeight="1" x14ac:dyDescent="0.25">
      <c r="C1329" s="226"/>
      <c r="D1329" s="118" t="s">
        <v>1178</v>
      </c>
      <c r="E1329" s="116">
        <v>750000000</v>
      </c>
      <c r="F1329" s="221">
        <v>750000000</v>
      </c>
      <c r="G1329" s="406">
        <f t="shared" si="75"/>
        <v>100</v>
      </c>
      <c r="H1329" s="407">
        <v>100</v>
      </c>
      <c r="I1329" s="111"/>
    </row>
    <row r="1330" spans="3:9" ht="16.5" hidden="1" customHeight="1" x14ac:dyDescent="0.25">
      <c r="C1330" s="226"/>
      <c r="D1330" s="118" t="s">
        <v>938</v>
      </c>
      <c r="E1330" s="116">
        <v>250000000</v>
      </c>
      <c r="F1330" s="221">
        <v>249980000</v>
      </c>
      <c r="G1330" s="406">
        <f t="shared" si="75"/>
        <v>99.992000000000004</v>
      </c>
      <c r="H1330" s="407">
        <v>100</v>
      </c>
      <c r="I1330" s="111"/>
    </row>
    <row r="1331" spans="3:9" ht="16.5" hidden="1" customHeight="1" x14ac:dyDescent="0.25">
      <c r="C1331" s="226"/>
      <c r="D1331" s="118" t="s">
        <v>938</v>
      </c>
      <c r="E1331" s="116">
        <v>680000000</v>
      </c>
      <c r="F1331" s="221">
        <v>679966000</v>
      </c>
      <c r="G1331" s="406">
        <f t="shared" si="75"/>
        <v>99.995000000000005</v>
      </c>
      <c r="H1331" s="407">
        <v>100</v>
      </c>
      <c r="I1331" s="111"/>
    </row>
    <row r="1332" spans="3:9" ht="16.5" hidden="1" customHeight="1" x14ac:dyDescent="0.25">
      <c r="C1332" s="226"/>
      <c r="D1332" s="118" t="s">
        <v>1179</v>
      </c>
      <c r="E1332" s="116">
        <v>1450500000</v>
      </c>
      <c r="F1332" s="221">
        <v>1450500000</v>
      </c>
      <c r="G1332" s="406">
        <f t="shared" si="75"/>
        <v>100</v>
      </c>
      <c r="H1332" s="407">
        <v>100</v>
      </c>
      <c r="I1332" s="111"/>
    </row>
    <row r="1333" spans="3:9" ht="42.75" hidden="1" customHeight="1" x14ac:dyDescent="0.25">
      <c r="C1333" s="226"/>
      <c r="D1333" s="118" t="s">
        <v>1180</v>
      </c>
      <c r="E1333" s="116">
        <v>100000000</v>
      </c>
      <c r="F1333" s="221">
        <v>87800000</v>
      </c>
      <c r="G1333" s="406">
        <f t="shared" si="75"/>
        <v>87.8</v>
      </c>
      <c r="H1333" s="407">
        <v>90</v>
      </c>
      <c r="I1333" s="111"/>
    </row>
    <row r="1334" spans="3:9" ht="42.75" hidden="1" customHeight="1" x14ac:dyDescent="0.25">
      <c r="C1334" s="226"/>
      <c r="D1334" s="118" t="s">
        <v>1181</v>
      </c>
      <c r="E1334" s="116">
        <v>150000000</v>
      </c>
      <c r="F1334" s="221">
        <v>122800000</v>
      </c>
      <c r="G1334" s="406">
        <f t="shared" si="75"/>
        <v>81.86666666666666</v>
      </c>
      <c r="H1334" s="407">
        <v>85</v>
      </c>
      <c r="I1334" s="111"/>
    </row>
    <row r="1335" spans="3:9" ht="18.75" hidden="1" customHeight="1" x14ac:dyDescent="0.25">
      <c r="C1335" s="226"/>
      <c r="D1335" s="118" t="s">
        <v>1182</v>
      </c>
      <c r="E1335" s="116">
        <v>150000000</v>
      </c>
      <c r="F1335" s="221">
        <v>150000000</v>
      </c>
      <c r="G1335" s="406">
        <f t="shared" si="75"/>
        <v>100</v>
      </c>
      <c r="H1335" s="407">
        <v>100</v>
      </c>
      <c r="I1335" s="111"/>
    </row>
    <row r="1336" spans="3:9" ht="42.75" hidden="1" customHeight="1" x14ac:dyDescent="0.25">
      <c r="C1336" s="226"/>
      <c r="D1336" s="118" t="s">
        <v>1183</v>
      </c>
      <c r="E1336" s="116">
        <v>387400000</v>
      </c>
      <c r="F1336" s="221">
        <v>387400000</v>
      </c>
      <c r="G1336" s="406">
        <f t="shared" si="75"/>
        <v>100</v>
      </c>
      <c r="H1336" s="407">
        <v>100</v>
      </c>
      <c r="I1336" s="111"/>
    </row>
    <row r="1337" spans="3:9" ht="42.75" hidden="1" customHeight="1" x14ac:dyDescent="0.25">
      <c r="C1337" s="226"/>
      <c r="D1337" s="118" t="s">
        <v>1184</v>
      </c>
      <c r="E1337" s="116">
        <v>430000000</v>
      </c>
      <c r="F1337" s="221">
        <v>429000000</v>
      </c>
      <c r="G1337" s="406">
        <f t="shared" si="75"/>
        <v>99.767441860465112</v>
      </c>
      <c r="H1337" s="407">
        <v>100</v>
      </c>
      <c r="I1337" s="111"/>
    </row>
    <row r="1338" spans="3:9" ht="16.5" hidden="1" customHeight="1" x14ac:dyDescent="0.25">
      <c r="C1338" s="226"/>
      <c r="D1338" s="118" t="s">
        <v>1185</v>
      </c>
      <c r="E1338" s="116">
        <v>963000000</v>
      </c>
      <c r="F1338" s="221">
        <v>961500000</v>
      </c>
      <c r="G1338" s="406">
        <f t="shared" si="75"/>
        <v>99.844236760124616</v>
      </c>
      <c r="H1338" s="407">
        <v>100</v>
      </c>
      <c r="I1338" s="111"/>
    </row>
    <row r="1339" spans="3:9" ht="42.75" hidden="1" customHeight="1" x14ac:dyDescent="0.25">
      <c r="C1339" s="226"/>
      <c r="D1339" s="118" t="s">
        <v>1186</v>
      </c>
      <c r="E1339" s="116">
        <v>300000000</v>
      </c>
      <c r="F1339" s="221">
        <v>299940000</v>
      </c>
      <c r="G1339" s="406">
        <f t="shared" si="75"/>
        <v>99.98</v>
      </c>
      <c r="H1339" s="407">
        <v>100</v>
      </c>
      <c r="I1339" s="111"/>
    </row>
    <row r="1340" spans="3:9" ht="16.5" hidden="1" customHeight="1" x14ac:dyDescent="0.25">
      <c r="C1340" s="226"/>
      <c r="D1340" s="118" t="s">
        <v>1187</v>
      </c>
      <c r="E1340" s="116">
        <v>800000000</v>
      </c>
      <c r="F1340" s="221">
        <v>799500000</v>
      </c>
      <c r="G1340" s="406">
        <f t="shared" si="75"/>
        <v>99.9375</v>
      </c>
      <c r="H1340" s="407">
        <v>100</v>
      </c>
      <c r="I1340" s="111"/>
    </row>
    <row r="1341" spans="3:9" ht="16.5" hidden="1" customHeight="1" x14ac:dyDescent="0.25">
      <c r="C1341" s="226"/>
      <c r="D1341" s="118" t="s">
        <v>1188</v>
      </c>
      <c r="E1341" s="116">
        <v>100000000</v>
      </c>
      <c r="F1341" s="221">
        <v>75463000</v>
      </c>
      <c r="G1341" s="406">
        <f t="shared" si="75"/>
        <v>75.463000000000008</v>
      </c>
      <c r="H1341" s="407">
        <v>80</v>
      </c>
      <c r="I1341" s="111"/>
    </row>
    <row r="1342" spans="3:9" ht="16.5" hidden="1" customHeight="1" x14ac:dyDescent="0.25">
      <c r="C1342" s="226"/>
      <c r="D1342" s="118" t="s">
        <v>1188</v>
      </c>
      <c r="E1342" s="116">
        <v>150000000</v>
      </c>
      <c r="F1342" s="221">
        <v>99190000</v>
      </c>
      <c r="G1342" s="406">
        <f t="shared" si="75"/>
        <v>66.126666666666665</v>
      </c>
      <c r="H1342" s="407">
        <v>70</v>
      </c>
      <c r="I1342" s="111"/>
    </row>
    <row r="1343" spans="3:9" ht="16.5" hidden="1" customHeight="1" x14ac:dyDescent="0.25">
      <c r="C1343" s="226"/>
      <c r="D1343" s="118" t="s">
        <v>1188</v>
      </c>
      <c r="E1343" s="116">
        <v>150000000</v>
      </c>
      <c r="F1343" s="221">
        <v>66750000</v>
      </c>
      <c r="G1343" s="406">
        <f t="shared" si="75"/>
        <v>44.5</v>
      </c>
      <c r="H1343" s="407">
        <v>50</v>
      </c>
      <c r="I1343" s="111"/>
    </row>
    <row r="1344" spans="3:9" ht="16.5" hidden="1" customHeight="1" x14ac:dyDescent="0.25">
      <c r="C1344" s="226"/>
      <c r="D1344" s="118" t="s">
        <v>1189</v>
      </c>
      <c r="E1344" s="116">
        <v>78489100</v>
      </c>
      <c r="F1344" s="221">
        <v>78489000</v>
      </c>
      <c r="G1344" s="406">
        <f t="shared" si="75"/>
        <v>99.999872593774171</v>
      </c>
      <c r="H1344" s="407">
        <v>100</v>
      </c>
      <c r="I1344" s="111"/>
    </row>
    <row r="1345" spans="3:9" ht="16.5" hidden="1" customHeight="1" x14ac:dyDescent="0.25">
      <c r="C1345" s="226"/>
      <c r="D1345" s="118" t="s">
        <v>1190</v>
      </c>
      <c r="E1345" s="116">
        <v>100000000</v>
      </c>
      <c r="F1345" s="221">
        <v>99000000</v>
      </c>
      <c r="G1345" s="406">
        <f t="shared" si="75"/>
        <v>99</v>
      </c>
      <c r="H1345" s="407">
        <v>100</v>
      </c>
      <c r="I1345" s="111"/>
    </row>
    <row r="1346" spans="3:9" ht="16.5" hidden="1" customHeight="1" x14ac:dyDescent="0.25">
      <c r="C1346" s="226"/>
      <c r="D1346" s="249" t="s">
        <v>693</v>
      </c>
      <c r="E1346" s="116">
        <v>2000000000</v>
      </c>
      <c r="F1346" s="220">
        <v>1859515000</v>
      </c>
      <c r="G1346" s="405">
        <v>92.975750000000005</v>
      </c>
      <c r="H1346" s="408">
        <f>SUM((H1347:H1354))/9</f>
        <v>76.666666666666671</v>
      </c>
      <c r="I1346" s="111"/>
    </row>
    <row r="1347" spans="3:9" ht="16.5" hidden="1" customHeight="1" x14ac:dyDescent="0.25">
      <c r="C1347" s="226"/>
      <c r="D1347" s="118" t="s">
        <v>1191</v>
      </c>
      <c r="E1347" s="116">
        <v>200000000</v>
      </c>
      <c r="F1347" s="221">
        <v>200000000</v>
      </c>
      <c r="G1347" s="406">
        <f t="shared" ref="G1347:G1355" si="76">F1347/E1347*100</f>
        <v>100</v>
      </c>
      <c r="H1347" s="407">
        <v>100</v>
      </c>
      <c r="I1347" s="111"/>
    </row>
    <row r="1348" spans="3:9" ht="16.5" hidden="1" customHeight="1" x14ac:dyDescent="0.25">
      <c r="C1348" s="226"/>
      <c r="D1348" s="118" t="s">
        <v>1192</v>
      </c>
      <c r="E1348" s="116">
        <v>500000000</v>
      </c>
      <c r="F1348" s="221">
        <v>499000000</v>
      </c>
      <c r="G1348" s="406">
        <f t="shared" si="76"/>
        <v>99.8</v>
      </c>
      <c r="H1348" s="407">
        <v>100</v>
      </c>
      <c r="I1348" s="111"/>
    </row>
    <row r="1349" spans="3:9" ht="16.5" hidden="1" customHeight="1" x14ac:dyDescent="0.25">
      <c r="C1349" s="226"/>
      <c r="D1349" s="118" t="s">
        <v>1193</v>
      </c>
      <c r="E1349" s="116">
        <v>100000000</v>
      </c>
      <c r="F1349" s="409">
        <v>86065000</v>
      </c>
      <c r="G1349" s="406">
        <f t="shared" si="76"/>
        <v>86.064999999999998</v>
      </c>
      <c r="H1349" s="407">
        <v>90</v>
      </c>
      <c r="I1349" s="111"/>
    </row>
    <row r="1350" spans="3:9" ht="16.5" hidden="1" customHeight="1" x14ac:dyDescent="0.25">
      <c r="C1350" s="226"/>
      <c r="D1350" s="118" t="s">
        <v>1193</v>
      </c>
      <c r="E1350" s="116">
        <v>100000000</v>
      </c>
      <c r="F1350" s="221">
        <v>38850000</v>
      </c>
      <c r="G1350" s="406">
        <f t="shared" si="76"/>
        <v>38.85</v>
      </c>
      <c r="H1350" s="407">
        <v>50</v>
      </c>
      <c r="I1350" s="111"/>
    </row>
    <row r="1351" spans="3:9" ht="16.5" hidden="1" customHeight="1" x14ac:dyDescent="0.25">
      <c r="C1351" s="226"/>
      <c r="D1351" s="118" t="s">
        <v>1193</v>
      </c>
      <c r="E1351" s="116">
        <v>100000000</v>
      </c>
      <c r="F1351" s="221">
        <v>36600000</v>
      </c>
      <c r="G1351" s="406">
        <f t="shared" si="76"/>
        <v>36.6</v>
      </c>
      <c r="H1351" s="407">
        <v>50</v>
      </c>
      <c r="I1351" s="111"/>
    </row>
    <row r="1352" spans="3:9" ht="16.5" hidden="1" customHeight="1" x14ac:dyDescent="0.25">
      <c r="C1352" s="226"/>
      <c r="D1352" s="118" t="s">
        <v>1194</v>
      </c>
      <c r="E1352" s="116">
        <v>500000000</v>
      </c>
      <c r="F1352" s="221">
        <v>499000000</v>
      </c>
      <c r="G1352" s="406">
        <f t="shared" si="76"/>
        <v>99.8</v>
      </c>
      <c r="H1352" s="407">
        <v>100</v>
      </c>
      <c r="I1352" s="111"/>
    </row>
    <row r="1353" spans="3:9" ht="16.5" hidden="1" customHeight="1" x14ac:dyDescent="0.25">
      <c r="C1353" s="226"/>
      <c r="D1353" s="118" t="s">
        <v>1195</v>
      </c>
      <c r="E1353" s="116">
        <v>200000000</v>
      </c>
      <c r="F1353" s="221">
        <v>200000000</v>
      </c>
      <c r="G1353" s="406">
        <f t="shared" si="76"/>
        <v>100</v>
      </c>
      <c r="H1353" s="407">
        <v>100</v>
      </c>
      <c r="I1353" s="111"/>
    </row>
    <row r="1354" spans="3:9" s="115" customFormat="1" ht="27.75" hidden="1" customHeight="1" x14ac:dyDescent="0.25">
      <c r="C1354" s="222"/>
      <c r="D1354" s="118" t="s">
        <v>1196</v>
      </c>
      <c r="E1354" s="116">
        <v>300000000</v>
      </c>
      <c r="F1354" s="221">
        <v>300000000</v>
      </c>
      <c r="G1354" s="406">
        <f t="shared" si="76"/>
        <v>100</v>
      </c>
      <c r="H1354" s="407">
        <v>100</v>
      </c>
      <c r="I1354" s="121"/>
    </row>
    <row r="1355" spans="3:9" s="115" customFormat="1" ht="16.5" hidden="1" customHeight="1" x14ac:dyDescent="0.25">
      <c r="C1355" s="222"/>
      <c r="D1355" s="249" t="s">
        <v>92</v>
      </c>
      <c r="E1355" s="195">
        <f>SUM(E1356:E1360)</f>
        <v>730000000</v>
      </c>
      <c r="F1355" s="113">
        <f>SUM(F1356:F1360)</f>
        <v>688512500</v>
      </c>
      <c r="G1355" s="405">
        <f t="shared" si="76"/>
        <v>94.316780821917817</v>
      </c>
      <c r="H1355" s="408">
        <f>SUM((H1356:H1360))/5</f>
        <v>98</v>
      </c>
      <c r="I1355" s="121"/>
    </row>
    <row r="1356" spans="3:9" s="115" customFormat="1" ht="16.5" hidden="1" customHeight="1" x14ac:dyDescent="0.25">
      <c r="C1356" s="390"/>
      <c r="D1356" s="118" t="s">
        <v>1197</v>
      </c>
      <c r="E1356" s="116">
        <v>120000000</v>
      </c>
      <c r="F1356" s="221">
        <v>119932500</v>
      </c>
      <c r="G1356" s="406">
        <v>99.943749999999994</v>
      </c>
      <c r="H1356" s="407">
        <v>100</v>
      </c>
      <c r="I1356" s="121"/>
    </row>
    <row r="1357" spans="3:9" ht="16.5" hidden="1" customHeight="1" x14ac:dyDescent="0.25">
      <c r="C1357" s="226"/>
      <c r="D1357" s="118" t="s">
        <v>1197</v>
      </c>
      <c r="E1357" s="116">
        <v>300000000</v>
      </c>
      <c r="F1357" s="221">
        <v>300000000</v>
      </c>
      <c r="G1357" s="406">
        <v>100</v>
      </c>
      <c r="H1357" s="407">
        <v>100</v>
      </c>
      <c r="I1357" s="111"/>
    </row>
    <row r="1358" spans="3:9" ht="16.5" hidden="1" customHeight="1" x14ac:dyDescent="0.25">
      <c r="C1358" s="226"/>
      <c r="D1358" s="118" t="s">
        <v>1198</v>
      </c>
      <c r="E1358" s="116">
        <v>160000000</v>
      </c>
      <c r="F1358" s="221">
        <v>147180000</v>
      </c>
      <c r="G1358" s="406">
        <v>91.987499999999997</v>
      </c>
      <c r="H1358" s="407">
        <v>100</v>
      </c>
      <c r="I1358" s="111"/>
    </row>
    <row r="1359" spans="3:9" ht="16.5" hidden="1" customHeight="1" x14ac:dyDescent="0.25">
      <c r="C1359" s="226"/>
      <c r="D1359" s="118" t="s">
        <v>1199</v>
      </c>
      <c r="E1359" s="116">
        <v>50000000</v>
      </c>
      <c r="F1359" s="409">
        <v>41900000</v>
      </c>
      <c r="G1359" s="406">
        <v>83.8</v>
      </c>
      <c r="H1359" s="407">
        <v>100</v>
      </c>
      <c r="I1359" s="111"/>
    </row>
    <row r="1360" spans="3:9" ht="16.5" hidden="1" customHeight="1" x14ac:dyDescent="0.25">
      <c r="C1360" s="226"/>
      <c r="D1360" s="118" t="s">
        <v>1200</v>
      </c>
      <c r="E1360" s="116">
        <v>100000000</v>
      </c>
      <c r="F1360" s="409">
        <v>79500000</v>
      </c>
      <c r="G1360" s="406">
        <v>79.5</v>
      </c>
      <c r="H1360" s="407">
        <v>90</v>
      </c>
      <c r="I1360" s="111"/>
    </row>
    <row r="1361" spans="3:9" ht="16.5" hidden="1" customHeight="1" x14ac:dyDescent="0.25">
      <c r="C1361" s="389"/>
      <c r="D1361" s="249" t="s">
        <v>1201</v>
      </c>
      <c r="E1361" s="195">
        <f>SUM(E1362:E1364)</f>
        <v>2474000000</v>
      </c>
      <c r="F1361" s="113">
        <f>SUM(F1362:F1364)</f>
        <v>2368281400</v>
      </c>
      <c r="G1361" s="405">
        <f>F1361/E1361*100</f>
        <v>95.726814874696842</v>
      </c>
      <c r="H1361" s="408">
        <f>SUM((H1362:H1364))/3</f>
        <v>70</v>
      </c>
      <c r="I1361" s="111"/>
    </row>
    <row r="1362" spans="3:9" ht="16.5" hidden="1" customHeight="1" x14ac:dyDescent="0.25">
      <c r="C1362" s="226"/>
      <c r="D1362" s="118" t="s">
        <v>1202</v>
      </c>
      <c r="E1362" s="116">
        <v>2280000000</v>
      </c>
      <c r="F1362" s="221">
        <v>2280000000</v>
      </c>
      <c r="G1362" s="406">
        <v>100</v>
      </c>
      <c r="H1362" s="407">
        <v>100</v>
      </c>
      <c r="I1362" s="111"/>
    </row>
    <row r="1363" spans="3:9" ht="16.5" hidden="1" customHeight="1" x14ac:dyDescent="0.25">
      <c r="C1363" s="226"/>
      <c r="D1363" s="118" t="s">
        <v>1202</v>
      </c>
      <c r="E1363" s="116">
        <v>100000000</v>
      </c>
      <c r="F1363" s="409">
        <v>50109200</v>
      </c>
      <c r="G1363" s="406">
        <v>50.109200000000001</v>
      </c>
      <c r="H1363" s="407">
        <v>60</v>
      </c>
      <c r="I1363" s="111"/>
    </row>
    <row r="1364" spans="3:9" ht="16.5" hidden="1" customHeight="1" x14ac:dyDescent="0.25">
      <c r="C1364" s="226"/>
      <c r="D1364" s="118" t="s">
        <v>1202</v>
      </c>
      <c r="E1364" s="116">
        <v>94000000</v>
      </c>
      <c r="F1364" s="221">
        <v>38172200</v>
      </c>
      <c r="G1364" s="406">
        <v>40.608723404255322</v>
      </c>
      <c r="H1364" s="407">
        <v>50</v>
      </c>
      <c r="I1364" s="111"/>
    </row>
    <row r="1365" spans="3:9" ht="16.5" hidden="1" customHeight="1" x14ac:dyDescent="0.25">
      <c r="C1365" s="226"/>
      <c r="D1365" s="118"/>
      <c r="E1365" s="116"/>
      <c r="F1365" s="108"/>
      <c r="G1365" s="117"/>
      <c r="H1365" s="117"/>
      <c r="I1365" s="111"/>
    </row>
    <row r="1366" spans="3:9" ht="16.5" hidden="1" customHeight="1" x14ac:dyDescent="0.25">
      <c r="C1366" s="226"/>
      <c r="D1366" s="249" t="s">
        <v>1203</v>
      </c>
      <c r="E1366" s="195">
        <f>E1367+E1405</f>
        <v>10903894550</v>
      </c>
      <c r="F1366" s="113">
        <f>F1367+F1405</f>
        <v>8825259827</v>
      </c>
      <c r="G1366" s="405">
        <v>80.936767927565839</v>
      </c>
      <c r="H1366" s="408">
        <f>(H1367+H1405)/2</f>
        <v>86.325757575757578</v>
      </c>
      <c r="I1366" s="111"/>
    </row>
    <row r="1367" spans="3:9" ht="16.5" hidden="1" customHeight="1" x14ac:dyDescent="0.25">
      <c r="C1367" s="226"/>
      <c r="D1367" s="249" t="s">
        <v>150</v>
      </c>
      <c r="E1367" s="195">
        <f>E1368+E1370+E1373+E1377+E1379+E1383+E1387+E1391+E1395+E1400+E1402</f>
        <v>7903894550</v>
      </c>
      <c r="F1367" s="113">
        <f>F1368+F1370+F1373+F1377+F1379+F1383+F1387+F1391+F1395+F1400+F1402</f>
        <v>5915759827</v>
      </c>
      <c r="G1367" s="405">
        <v>74.846138059875813</v>
      </c>
      <c r="H1367" s="408">
        <f>(H1368+H1370+H1373+H1377+H1379+H1383+H1387+H1391+H1395+H1400+H1402)/11</f>
        <v>72.651515151515156</v>
      </c>
      <c r="I1367" s="111"/>
    </row>
    <row r="1368" spans="3:9" ht="16.5" hidden="1" customHeight="1" x14ac:dyDescent="0.25">
      <c r="C1368" s="226"/>
      <c r="D1368" s="249" t="s">
        <v>153</v>
      </c>
      <c r="E1368" s="195">
        <v>313000000</v>
      </c>
      <c r="F1368" s="220">
        <v>271305600</v>
      </c>
      <c r="G1368" s="405">
        <f>F1368/E1368*100</f>
        <v>86.679105431309893</v>
      </c>
      <c r="H1368" s="408">
        <f>H1369</f>
        <v>100</v>
      </c>
      <c r="I1368" s="111"/>
    </row>
    <row r="1369" spans="3:9" ht="16.5" hidden="1" customHeight="1" x14ac:dyDescent="0.25">
      <c r="C1369" s="226"/>
      <c r="D1369" s="118" t="s">
        <v>1204</v>
      </c>
      <c r="E1369" s="116">
        <v>313000000</v>
      </c>
      <c r="F1369" s="221">
        <v>271305600</v>
      </c>
      <c r="G1369" s="406">
        <v>86.679105431309893</v>
      </c>
      <c r="H1369" s="407">
        <v>100</v>
      </c>
      <c r="I1369" s="111"/>
    </row>
    <row r="1370" spans="3:9" ht="16.5" hidden="1" customHeight="1" x14ac:dyDescent="0.25">
      <c r="C1370" s="389"/>
      <c r="D1370" s="249" t="s">
        <v>156</v>
      </c>
      <c r="E1370" s="195">
        <v>1550000000</v>
      </c>
      <c r="F1370" s="220">
        <v>671620000</v>
      </c>
      <c r="G1370" s="405">
        <f t="shared" ref="G1370:G1403" si="77">F1370/E1370*100</f>
        <v>43.330322580645159</v>
      </c>
      <c r="H1370" s="408">
        <f>(H1371+H1372)/2</f>
        <v>57.5</v>
      </c>
      <c r="I1370" s="111"/>
    </row>
    <row r="1371" spans="3:9" ht="16.5" hidden="1" customHeight="1" x14ac:dyDescent="0.25">
      <c r="C1371" s="226"/>
      <c r="D1371" s="118" t="s">
        <v>1205</v>
      </c>
      <c r="E1371" s="116">
        <v>1000000000</v>
      </c>
      <c r="F1371" s="221">
        <v>197380000</v>
      </c>
      <c r="G1371" s="406">
        <f t="shared" si="77"/>
        <v>19.738</v>
      </c>
      <c r="H1371" s="407">
        <v>25</v>
      </c>
      <c r="I1371" s="111"/>
    </row>
    <row r="1372" spans="3:9" ht="16.5" hidden="1" customHeight="1" x14ac:dyDescent="0.25">
      <c r="C1372" s="226"/>
      <c r="D1372" s="118" t="s">
        <v>1206</v>
      </c>
      <c r="E1372" s="116">
        <v>550000000</v>
      </c>
      <c r="F1372" s="409">
        <v>474240000</v>
      </c>
      <c r="G1372" s="406">
        <f t="shared" si="77"/>
        <v>86.225454545454554</v>
      </c>
      <c r="H1372" s="407">
        <v>90</v>
      </c>
      <c r="I1372" s="111"/>
    </row>
    <row r="1373" spans="3:9" ht="16.5" hidden="1" customHeight="1" x14ac:dyDescent="0.25">
      <c r="C1373" s="226"/>
      <c r="D1373" s="249" t="s">
        <v>166</v>
      </c>
      <c r="E1373" s="116">
        <v>1770000000</v>
      </c>
      <c r="F1373" s="220">
        <v>1482835000</v>
      </c>
      <c r="G1373" s="406">
        <f t="shared" si="77"/>
        <v>83.77598870056498</v>
      </c>
      <c r="H1373" s="408">
        <f>(SUM(H1374:H1376))/3</f>
        <v>71.666666666666671</v>
      </c>
      <c r="I1373" s="111"/>
    </row>
    <row r="1374" spans="3:9" ht="16.5" hidden="1" customHeight="1" x14ac:dyDescent="0.25">
      <c r="C1374" s="226"/>
      <c r="D1374" s="118" t="s">
        <v>1207</v>
      </c>
      <c r="E1374" s="116">
        <v>150000000</v>
      </c>
      <c r="F1374" s="221">
        <v>28314000</v>
      </c>
      <c r="G1374" s="406">
        <f t="shared" si="77"/>
        <v>18.876000000000001</v>
      </c>
      <c r="H1374" s="407">
        <v>25</v>
      </c>
      <c r="I1374" s="111"/>
    </row>
    <row r="1375" spans="3:9" ht="16.5" hidden="1" customHeight="1" x14ac:dyDescent="0.25">
      <c r="C1375" s="226"/>
      <c r="D1375" s="118" t="s">
        <v>1208</v>
      </c>
      <c r="E1375" s="116">
        <v>50000000</v>
      </c>
      <c r="F1375" s="409">
        <v>50000000</v>
      </c>
      <c r="G1375" s="406">
        <f t="shared" si="77"/>
        <v>100</v>
      </c>
      <c r="H1375" s="407">
        <v>100</v>
      </c>
      <c r="I1375" s="111"/>
    </row>
    <row r="1376" spans="3:9" ht="16.5" hidden="1" customHeight="1" x14ac:dyDescent="0.25">
      <c r="C1376" s="226"/>
      <c r="D1376" s="118" t="s">
        <v>1209</v>
      </c>
      <c r="E1376" s="116">
        <v>1570000000</v>
      </c>
      <c r="F1376" s="221">
        <v>1404521000</v>
      </c>
      <c r="G1376" s="406">
        <f t="shared" si="77"/>
        <v>89.459936305732484</v>
      </c>
      <c r="H1376" s="407">
        <v>90</v>
      </c>
      <c r="I1376" s="111"/>
    </row>
    <row r="1377" spans="3:9" ht="16.5" hidden="1" customHeight="1" x14ac:dyDescent="0.25">
      <c r="C1377" s="226"/>
      <c r="D1377" s="249" t="s">
        <v>168</v>
      </c>
      <c r="E1377" s="195">
        <v>100000000</v>
      </c>
      <c r="F1377" s="220">
        <v>0</v>
      </c>
      <c r="G1377" s="405">
        <f t="shared" si="77"/>
        <v>0</v>
      </c>
      <c r="H1377" s="408"/>
      <c r="I1377" s="111"/>
    </row>
    <row r="1378" spans="3:9" ht="16.5" hidden="1" customHeight="1" x14ac:dyDescent="0.25">
      <c r="C1378" s="226"/>
      <c r="D1378" s="118" t="s">
        <v>1210</v>
      </c>
      <c r="E1378" s="116">
        <v>100000000</v>
      </c>
      <c r="F1378" s="221">
        <v>0</v>
      </c>
      <c r="G1378" s="406">
        <f t="shared" si="77"/>
        <v>0</v>
      </c>
      <c r="H1378" s="407">
        <v>0</v>
      </c>
      <c r="I1378" s="111"/>
    </row>
    <row r="1379" spans="3:9" ht="16.5" hidden="1" customHeight="1" x14ac:dyDescent="0.25">
      <c r="C1379" s="226"/>
      <c r="D1379" s="249" t="s">
        <v>175</v>
      </c>
      <c r="E1379" s="195">
        <v>300000000</v>
      </c>
      <c r="F1379" s="347">
        <v>123593000</v>
      </c>
      <c r="G1379" s="405">
        <f t="shared" si="77"/>
        <v>41.197666666666663</v>
      </c>
      <c r="H1379" s="408">
        <f>(SUM(H1380:H1382))/3</f>
        <v>56.666666666666664</v>
      </c>
      <c r="I1379" s="111"/>
    </row>
    <row r="1380" spans="3:9" ht="16.5" hidden="1" customHeight="1" x14ac:dyDescent="0.25">
      <c r="C1380" s="226"/>
      <c r="D1380" s="118" t="s">
        <v>176</v>
      </c>
      <c r="E1380" s="116">
        <v>50000000</v>
      </c>
      <c r="F1380" s="221">
        <v>49713000</v>
      </c>
      <c r="G1380" s="406">
        <f t="shared" si="77"/>
        <v>99.426000000000002</v>
      </c>
      <c r="H1380" s="407">
        <v>100</v>
      </c>
      <c r="I1380" s="111"/>
    </row>
    <row r="1381" spans="3:9" ht="16.5" hidden="1" customHeight="1" x14ac:dyDescent="0.25">
      <c r="C1381" s="226"/>
      <c r="D1381" s="118" t="s">
        <v>1211</v>
      </c>
      <c r="E1381" s="116">
        <v>200000000</v>
      </c>
      <c r="F1381" s="221">
        <v>69480000</v>
      </c>
      <c r="G1381" s="406">
        <f t="shared" si="77"/>
        <v>34.74</v>
      </c>
      <c r="H1381" s="407">
        <v>50</v>
      </c>
      <c r="I1381" s="111"/>
    </row>
    <row r="1382" spans="3:9" s="115" customFormat="1" ht="16.5" hidden="1" customHeight="1" x14ac:dyDescent="0.25">
      <c r="C1382" s="222"/>
      <c r="D1382" s="118" t="s">
        <v>1212</v>
      </c>
      <c r="E1382" s="195">
        <v>50000000</v>
      </c>
      <c r="F1382" s="221">
        <v>4400000</v>
      </c>
      <c r="G1382" s="406">
        <f t="shared" si="77"/>
        <v>8.7999999999999989</v>
      </c>
      <c r="H1382" s="407">
        <v>20</v>
      </c>
      <c r="I1382" s="121"/>
    </row>
    <row r="1383" spans="3:9" ht="16.5" hidden="1" customHeight="1" x14ac:dyDescent="0.25">
      <c r="C1383" s="226"/>
      <c r="D1383" s="249" t="s">
        <v>177</v>
      </c>
      <c r="E1383" s="195">
        <v>285000000</v>
      </c>
      <c r="F1383" s="347">
        <v>204850000</v>
      </c>
      <c r="G1383" s="405">
        <f t="shared" si="77"/>
        <v>71.877192982456137</v>
      </c>
      <c r="H1383" s="408">
        <f>(SUM(H1384:H1386))/3</f>
        <v>66.666666666666671</v>
      </c>
      <c r="I1383" s="111"/>
    </row>
    <row r="1384" spans="3:9" ht="16.5" hidden="1" customHeight="1" x14ac:dyDescent="0.25">
      <c r="C1384" s="226"/>
      <c r="D1384" s="118" t="s">
        <v>836</v>
      </c>
      <c r="E1384" s="116">
        <v>135000000</v>
      </c>
      <c r="F1384" s="221">
        <v>134550000</v>
      </c>
      <c r="G1384" s="406">
        <f t="shared" si="77"/>
        <v>99.666666666666671</v>
      </c>
      <c r="H1384" s="407">
        <v>100</v>
      </c>
      <c r="I1384" s="111"/>
    </row>
    <row r="1385" spans="3:9" ht="16.5" hidden="1" customHeight="1" x14ac:dyDescent="0.25">
      <c r="C1385" s="226"/>
      <c r="D1385" s="118" t="s">
        <v>1213</v>
      </c>
      <c r="E1385" s="116">
        <v>75000000</v>
      </c>
      <c r="F1385" s="409">
        <v>0</v>
      </c>
      <c r="G1385" s="406">
        <f t="shared" si="77"/>
        <v>0</v>
      </c>
      <c r="H1385" s="407">
        <v>0</v>
      </c>
      <c r="I1385" s="111"/>
    </row>
    <row r="1386" spans="3:9" ht="16.5" hidden="1" customHeight="1" x14ac:dyDescent="0.25">
      <c r="C1386" s="226"/>
      <c r="D1386" s="118" t="s">
        <v>1214</v>
      </c>
      <c r="E1386" s="116">
        <v>75000000</v>
      </c>
      <c r="F1386" s="221">
        <v>70300000</v>
      </c>
      <c r="G1386" s="406">
        <f t="shared" si="77"/>
        <v>93.733333333333334</v>
      </c>
      <c r="H1386" s="407">
        <v>100</v>
      </c>
      <c r="I1386" s="111"/>
    </row>
    <row r="1387" spans="3:9" ht="16.5" hidden="1" customHeight="1" x14ac:dyDescent="0.25">
      <c r="C1387" s="226"/>
      <c r="D1387" s="249" t="s">
        <v>179</v>
      </c>
      <c r="E1387" s="195">
        <v>327000000</v>
      </c>
      <c r="F1387" s="220">
        <v>269819827</v>
      </c>
      <c r="G1387" s="405">
        <f t="shared" si="77"/>
        <v>82.513708562691136</v>
      </c>
      <c r="H1387" s="408">
        <f>(SUM(H1388:H1390))/3</f>
        <v>93.333333333333329</v>
      </c>
      <c r="I1387" s="111"/>
    </row>
    <row r="1388" spans="3:9" ht="16.5" hidden="1" customHeight="1" x14ac:dyDescent="0.25">
      <c r="C1388" s="226"/>
      <c r="D1388" s="118" t="s">
        <v>1215</v>
      </c>
      <c r="E1388" s="116">
        <v>75000000</v>
      </c>
      <c r="F1388" s="221">
        <v>71081000</v>
      </c>
      <c r="G1388" s="406">
        <f t="shared" si="77"/>
        <v>94.774666666666661</v>
      </c>
      <c r="H1388" s="407">
        <v>100</v>
      </c>
      <c r="I1388" s="111"/>
    </row>
    <row r="1389" spans="3:9" ht="16.5" hidden="1" customHeight="1" x14ac:dyDescent="0.25">
      <c r="C1389" s="226"/>
      <c r="D1389" s="118" t="s">
        <v>1216</v>
      </c>
      <c r="E1389" s="116">
        <v>90000000</v>
      </c>
      <c r="F1389" s="221">
        <v>82056827</v>
      </c>
      <c r="G1389" s="406">
        <f t="shared" si="77"/>
        <v>91.174252222222222</v>
      </c>
      <c r="H1389" s="407">
        <v>100</v>
      </c>
      <c r="I1389" s="111"/>
    </row>
    <row r="1390" spans="3:9" ht="16.5" hidden="1" customHeight="1" x14ac:dyDescent="0.25">
      <c r="C1390" s="226"/>
      <c r="D1390" s="118" t="s">
        <v>1217</v>
      </c>
      <c r="E1390" s="116">
        <v>162000000</v>
      </c>
      <c r="F1390" s="221">
        <v>116682000</v>
      </c>
      <c r="G1390" s="406">
        <f t="shared" si="77"/>
        <v>72.025925925925932</v>
      </c>
      <c r="H1390" s="407">
        <v>80</v>
      </c>
      <c r="I1390" s="111"/>
    </row>
    <row r="1391" spans="3:9" ht="16.5" hidden="1" customHeight="1" x14ac:dyDescent="0.25">
      <c r="C1391" s="226"/>
      <c r="D1391" s="249" t="s">
        <v>182</v>
      </c>
      <c r="E1391" s="195">
        <v>1830000000</v>
      </c>
      <c r="F1391" s="220">
        <v>1533764000</v>
      </c>
      <c r="G1391" s="405">
        <f t="shared" si="77"/>
        <v>83.812240437158465</v>
      </c>
      <c r="H1391" s="408">
        <f>(SUM(H1392:H1394))/3</f>
        <v>63.333333333333336</v>
      </c>
      <c r="I1391" s="111"/>
    </row>
    <row r="1392" spans="3:9" ht="16.5" hidden="1" customHeight="1" x14ac:dyDescent="0.25">
      <c r="C1392" s="226"/>
      <c r="D1392" s="118" t="s">
        <v>1218</v>
      </c>
      <c r="E1392" s="116">
        <v>800000000</v>
      </c>
      <c r="F1392" s="221">
        <v>783814000</v>
      </c>
      <c r="G1392" s="406">
        <f t="shared" si="77"/>
        <v>97.976749999999996</v>
      </c>
      <c r="H1392" s="407">
        <v>100</v>
      </c>
      <c r="I1392" s="111"/>
    </row>
    <row r="1393" spans="3:9" ht="16.5" hidden="1" customHeight="1" x14ac:dyDescent="0.25">
      <c r="C1393" s="226"/>
      <c r="D1393" s="118" t="s">
        <v>1219</v>
      </c>
      <c r="E1393" s="116">
        <v>15000000</v>
      </c>
      <c r="F1393" s="221">
        <v>0</v>
      </c>
      <c r="G1393" s="406">
        <f t="shared" si="77"/>
        <v>0</v>
      </c>
      <c r="H1393" s="407">
        <v>0</v>
      </c>
      <c r="I1393" s="111"/>
    </row>
    <row r="1394" spans="3:9" ht="34.5" hidden="1" customHeight="1" x14ac:dyDescent="0.25">
      <c r="C1394" s="226"/>
      <c r="D1394" s="118" t="s">
        <v>1220</v>
      </c>
      <c r="E1394" s="116">
        <v>1015000000</v>
      </c>
      <c r="F1394" s="221">
        <v>749950000</v>
      </c>
      <c r="G1394" s="406">
        <f t="shared" si="77"/>
        <v>73.886699507389167</v>
      </c>
      <c r="H1394" s="407">
        <v>90</v>
      </c>
      <c r="I1394" s="111"/>
    </row>
    <row r="1395" spans="3:9" ht="41.25" hidden="1" customHeight="1" x14ac:dyDescent="0.25">
      <c r="C1395" s="226"/>
      <c r="D1395" s="249" t="s">
        <v>1221</v>
      </c>
      <c r="E1395" s="195">
        <v>820000000</v>
      </c>
      <c r="F1395" s="220">
        <v>808605500</v>
      </c>
      <c r="G1395" s="405">
        <f t="shared" si="77"/>
        <v>98.610426829268292</v>
      </c>
      <c r="H1395" s="408">
        <f>(SUM(H1396:H1398))/3</f>
        <v>100</v>
      </c>
      <c r="I1395" s="111"/>
    </row>
    <row r="1396" spans="3:9" ht="16.5" hidden="1" customHeight="1" x14ac:dyDescent="0.25">
      <c r="C1396" s="226"/>
      <c r="D1396" s="118" t="s">
        <v>1222</v>
      </c>
      <c r="E1396" s="116">
        <v>260000000</v>
      </c>
      <c r="F1396" s="221">
        <v>258900000</v>
      </c>
      <c r="G1396" s="406">
        <f t="shared" si="77"/>
        <v>99.57692307692308</v>
      </c>
      <c r="H1396" s="407">
        <v>100</v>
      </c>
      <c r="I1396" s="111"/>
    </row>
    <row r="1397" spans="3:9" ht="16.5" hidden="1" customHeight="1" x14ac:dyDescent="0.25">
      <c r="C1397" s="226"/>
      <c r="D1397" s="118" t="s">
        <v>1223</v>
      </c>
      <c r="E1397" s="116">
        <v>200000000</v>
      </c>
      <c r="F1397" s="221">
        <v>198250000</v>
      </c>
      <c r="G1397" s="406">
        <f t="shared" si="77"/>
        <v>99.125</v>
      </c>
      <c r="H1397" s="407">
        <v>100</v>
      </c>
      <c r="I1397" s="111"/>
    </row>
    <row r="1398" spans="3:9" ht="16.5" hidden="1" customHeight="1" x14ac:dyDescent="0.25">
      <c r="C1398" s="226"/>
      <c r="D1398" s="118" t="s">
        <v>1224</v>
      </c>
      <c r="E1398" s="116">
        <v>160000000</v>
      </c>
      <c r="F1398" s="409">
        <v>157140500</v>
      </c>
      <c r="G1398" s="406">
        <f t="shared" si="77"/>
        <v>98.212812499999998</v>
      </c>
      <c r="H1398" s="407">
        <v>100</v>
      </c>
      <c r="I1398" s="111"/>
    </row>
    <row r="1399" spans="3:9" ht="16.5" hidden="1" customHeight="1" x14ac:dyDescent="0.25">
      <c r="C1399" s="226"/>
      <c r="D1399" s="118" t="s">
        <v>1225</v>
      </c>
      <c r="E1399" s="116">
        <v>200000000</v>
      </c>
      <c r="F1399" s="221">
        <v>194315000</v>
      </c>
      <c r="G1399" s="406">
        <f t="shared" si="77"/>
        <v>97.157499999999999</v>
      </c>
      <c r="H1399" s="407">
        <v>100</v>
      </c>
      <c r="I1399" s="111"/>
    </row>
    <row r="1400" spans="3:9" ht="16.5" hidden="1" customHeight="1" x14ac:dyDescent="0.25">
      <c r="C1400" s="226"/>
      <c r="D1400" s="249" t="s">
        <v>196</v>
      </c>
      <c r="E1400" s="195">
        <v>208894550</v>
      </c>
      <c r="F1400" s="347">
        <v>180882600</v>
      </c>
      <c r="G1400" s="405">
        <f t="shared" si="77"/>
        <v>86.590387350938542</v>
      </c>
      <c r="H1400" s="408">
        <f>H1401</f>
        <v>90</v>
      </c>
      <c r="I1400" s="111"/>
    </row>
    <row r="1401" spans="3:9" ht="16.5" hidden="1" customHeight="1" x14ac:dyDescent="0.25">
      <c r="C1401" s="226"/>
      <c r="D1401" s="118" t="s">
        <v>1226</v>
      </c>
      <c r="E1401" s="116">
        <v>208894550</v>
      </c>
      <c r="F1401" s="221">
        <v>180882600</v>
      </c>
      <c r="G1401" s="406">
        <f t="shared" si="77"/>
        <v>86.590387350938542</v>
      </c>
      <c r="H1401" s="407">
        <v>90</v>
      </c>
      <c r="I1401" s="111"/>
    </row>
    <row r="1402" spans="3:9" ht="16.5" hidden="1" customHeight="1" x14ac:dyDescent="0.25">
      <c r="C1402" s="226"/>
      <c r="D1402" s="249" t="s">
        <v>720</v>
      </c>
      <c r="E1402" s="195">
        <v>400000000</v>
      </c>
      <c r="F1402" s="220">
        <v>368484300</v>
      </c>
      <c r="G1402" s="405">
        <f t="shared" si="77"/>
        <v>92.12107499999999</v>
      </c>
      <c r="H1402" s="408">
        <f>H1403</f>
        <v>100</v>
      </c>
      <c r="I1402" s="111"/>
    </row>
    <row r="1403" spans="3:9" ht="16.5" hidden="1" customHeight="1" x14ac:dyDescent="0.25">
      <c r="C1403" s="226"/>
      <c r="D1403" s="118" t="s">
        <v>1227</v>
      </c>
      <c r="E1403" s="116">
        <v>400000000</v>
      </c>
      <c r="F1403" s="221">
        <v>368484300</v>
      </c>
      <c r="G1403" s="406">
        <f t="shared" si="77"/>
        <v>92.12107499999999</v>
      </c>
      <c r="H1403" s="407">
        <v>100</v>
      </c>
      <c r="I1403" s="111"/>
    </row>
    <row r="1404" spans="3:9" ht="16.5" hidden="1" customHeight="1" x14ac:dyDescent="0.25">
      <c r="C1404" s="226"/>
      <c r="D1404" s="118"/>
      <c r="E1404" s="116"/>
      <c r="F1404" s="108"/>
      <c r="G1404" s="117"/>
      <c r="H1404" s="117"/>
      <c r="I1404" s="111"/>
    </row>
    <row r="1405" spans="3:9" ht="16.5" hidden="1" customHeight="1" x14ac:dyDescent="0.25">
      <c r="C1405" s="226"/>
      <c r="D1405" s="249" t="s">
        <v>847</v>
      </c>
      <c r="E1405" s="116">
        <v>3000000000</v>
      </c>
      <c r="F1405" s="347">
        <v>2909500000</v>
      </c>
      <c r="G1405" s="405">
        <v>96.983333333333334</v>
      </c>
      <c r="H1405" s="408">
        <f>H1406</f>
        <v>100</v>
      </c>
      <c r="I1405" s="111"/>
    </row>
    <row r="1406" spans="3:9" ht="47.25" hidden="1" customHeight="1" x14ac:dyDescent="0.25">
      <c r="C1406" s="226"/>
      <c r="D1406" s="249" t="s">
        <v>1228</v>
      </c>
      <c r="E1406" s="116">
        <v>3000000000</v>
      </c>
      <c r="F1406" s="347">
        <v>2909500000</v>
      </c>
      <c r="G1406" s="405">
        <v>96.983333333333334</v>
      </c>
      <c r="H1406" s="408">
        <f>H1407</f>
        <v>100</v>
      </c>
      <c r="I1406" s="111"/>
    </row>
    <row r="1407" spans="3:9" ht="16.5" hidden="1" customHeight="1" x14ac:dyDescent="0.25">
      <c r="C1407" s="389"/>
      <c r="D1407" s="118" t="s">
        <v>1229</v>
      </c>
      <c r="E1407" s="116">
        <v>3000000000</v>
      </c>
      <c r="F1407" s="221">
        <v>2909500000</v>
      </c>
      <c r="G1407" s="406">
        <v>96.983333333333334</v>
      </c>
      <c r="H1407" s="407">
        <v>100</v>
      </c>
      <c r="I1407" s="111"/>
    </row>
    <row r="1408" spans="3:9" ht="16.5" hidden="1" customHeight="1" x14ac:dyDescent="0.25">
      <c r="C1408" s="389"/>
      <c r="D1408" s="118"/>
      <c r="E1408" s="116"/>
      <c r="F1408" s="108"/>
      <c r="G1408" s="117"/>
      <c r="H1408" s="117"/>
      <c r="I1408" s="111"/>
    </row>
    <row r="1409" spans="3:9" ht="16.5" hidden="1" customHeight="1" x14ac:dyDescent="0.25">
      <c r="C1409" s="226"/>
      <c r="D1409" s="249" t="s">
        <v>1230</v>
      </c>
      <c r="E1409" s="116">
        <v>3191859400</v>
      </c>
      <c r="F1409" s="220">
        <v>2450304000</v>
      </c>
      <c r="G1409" s="405">
        <f t="shared" ref="G1409:G1414" si="78">F1409/E1409*100</f>
        <v>76.767291190833788</v>
      </c>
      <c r="H1409" s="408">
        <f>H1410</f>
        <v>70</v>
      </c>
      <c r="I1409" s="111"/>
    </row>
    <row r="1410" spans="3:9" ht="16.5" hidden="1" customHeight="1" x14ac:dyDescent="0.25">
      <c r="C1410" s="226"/>
      <c r="D1410" s="249" t="s">
        <v>854</v>
      </c>
      <c r="E1410" s="195">
        <v>3191859400</v>
      </c>
      <c r="F1410" s="347">
        <v>2450304000</v>
      </c>
      <c r="G1410" s="405">
        <f t="shared" si="78"/>
        <v>76.767291190833788</v>
      </c>
      <c r="H1410" s="408">
        <f>H1411</f>
        <v>70</v>
      </c>
      <c r="I1410" s="111"/>
    </row>
    <row r="1411" spans="3:9" ht="16.5" hidden="1" customHeight="1" x14ac:dyDescent="0.25">
      <c r="C1411" s="226"/>
      <c r="D1411" s="249" t="s">
        <v>1231</v>
      </c>
      <c r="E1411" s="195">
        <f>SUM(E1412:E1414)</f>
        <v>3191859400</v>
      </c>
      <c r="F1411" s="113">
        <f>SUM(F1412:F1414)</f>
        <v>2450304000</v>
      </c>
      <c r="G1411" s="405">
        <f t="shared" si="78"/>
        <v>76.767291190833788</v>
      </c>
      <c r="H1411" s="408">
        <f>(SUM(H1412:H1414))/3</f>
        <v>70</v>
      </c>
      <c r="I1411" s="111"/>
    </row>
    <row r="1412" spans="3:9" ht="16.5" hidden="1" customHeight="1" x14ac:dyDescent="0.25">
      <c r="C1412" s="226"/>
      <c r="D1412" s="118" t="s">
        <v>1232</v>
      </c>
      <c r="E1412" s="116">
        <v>1798572000</v>
      </c>
      <c r="F1412" s="409">
        <v>1766998000</v>
      </c>
      <c r="G1412" s="406">
        <f t="shared" si="78"/>
        <v>98.244496189198983</v>
      </c>
      <c r="H1412" s="407">
        <v>100</v>
      </c>
      <c r="I1412" s="111"/>
    </row>
    <row r="1413" spans="3:9" ht="16.5" hidden="1" customHeight="1" x14ac:dyDescent="0.25">
      <c r="C1413" s="389"/>
      <c r="D1413" s="118" t="s">
        <v>1233</v>
      </c>
      <c r="E1413" s="116">
        <v>643337400</v>
      </c>
      <c r="F1413" s="221">
        <v>640426000</v>
      </c>
      <c r="G1413" s="406">
        <f t="shared" si="78"/>
        <v>99.547453637857828</v>
      </c>
      <c r="H1413" s="407">
        <v>100</v>
      </c>
      <c r="I1413" s="111"/>
    </row>
    <row r="1414" spans="3:9" ht="16.5" hidden="1" customHeight="1" x14ac:dyDescent="0.25">
      <c r="C1414" s="226"/>
      <c r="D1414" s="118" t="s">
        <v>1234</v>
      </c>
      <c r="E1414" s="116">
        <v>749950000</v>
      </c>
      <c r="F1414" s="221">
        <v>42880000</v>
      </c>
      <c r="G1414" s="406">
        <f t="shared" si="78"/>
        <v>5.7177145143009529</v>
      </c>
      <c r="H1414" s="407">
        <v>10</v>
      </c>
      <c r="I1414" s="111"/>
    </row>
    <row r="1415" spans="3:9" ht="16.5" hidden="1" customHeight="1" x14ac:dyDescent="0.25">
      <c r="C1415" s="226"/>
      <c r="D1415" s="118"/>
      <c r="E1415" s="116"/>
      <c r="F1415" s="108"/>
      <c r="G1415" s="117"/>
      <c r="H1415" s="117"/>
      <c r="I1415" s="111"/>
    </row>
    <row r="1416" spans="3:9" ht="16.5" hidden="1" customHeight="1" x14ac:dyDescent="0.25">
      <c r="C1416" s="226"/>
      <c r="D1416" s="249" t="s">
        <v>1235</v>
      </c>
      <c r="E1416" s="195">
        <v>10000000000</v>
      </c>
      <c r="F1416" s="347">
        <v>9715335000</v>
      </c>
      <c r="G1416" s="405">
        <v>97.153350000000003</v>
      </c>
      <c r="H1416" s="408">
        <f>H1417</f>
        <v>100</v>
      </c>
      <c r="I1416" s="111"/>
    </row>
    <row r="1417" spans="3:9" ht="16.5" hidden="1" customHeight="1" x14ac:dyDescent="0.25">
      <c r="C1417" s="226"/>
      <c r="D1417" s="249" t="s">
        <v>728</v>
      </c>
      <c r="E1417" s="195">
        <v>10000000000</v>
      </c>
      <c r="F1417" s="347">
        <v>9715335000</v>
      </c>
      <c r="G1417" s="405">
        <v>97.153350000000003</v>
      </c>
      <c r="H1417" s="408">
        <f>H1418</f>
        <v>100</v>
      </c>
      <c r="I1417" s="111"/>
    </row>
    <row r="1418" spans="3:9" ht="16.5" hidden="1" customHeight="1" x14ac:dyDescent="0.25">
      <c r="C1418" s="226"/>
      <c r="D1418" s="249" t="s">
        <v>729</v>
      </c>
      <c r="E1418" s="195">
        <v>10000000000</v>
      </c>
      <c r="F1418" s="347">
        <v>9715335000</v>
      </c>
      <c r="G1418" s="405">
        <v>97.153350000000003</v>
      </c>
      <c r="H1418" s="408">
        <f>H1419</f>
        <v>100</v>
      </c>
      <c r="I1418" s="111"/>
    </row>
    <row r="1419" spans="3:9" ht="16.5" hidden="1" customHeight="1" x14ac:dyDescent="0.25">
      <c r="C1419" s="226"/>
      <c r="D1419" s="118" t="s">
        <v>1236</v>
      </c>
      <c r="E1419" s="116">
        <v>10000000000</v>
      </c>
      <c r="F1419" s="221">
        <v>9715335000</v>
      </c>
      <c r="G1419" s="406">
        <f>F1419/E1419*100</f>
        <v>97.153350000000003</v>
      </c>
      <c r="H1419" s="407">
        <v>100</v>
      </c>
      <c r="I1419" s="111"/>
    </row>
    <row r="1420" spans="3:9" ht="16.5" hidden="1" customHeight="1" x14ac:dyDescent="0.25">
      <c r="C1420" s="226"/>
      <c r="D1420" s="118"/>
      <c r="E1420" s="116"/>
      <c r="F1420" s="108"/>
      <c r="G1420" s="117"/>
      <c r="H1420" s="117"/>
      <c r="I1420" s="111"/>
    </row>
    <row r="1421" spans="3:9" ht="16.5" hidden="1" customHeight="1" x14ac:dyDescent="0.25">
      <c r="C1421" s="226"/>
      <c r="D1421" s="249" t="s">
        <v>1237</v>
      </c>
      <c r="E1421" s="195">
        <v>1039824250</v>
      </c>
      <c r="F1421" s="347">
        <v>1038442250</v>
      </c>
      <c r="G1421" s="405">
        <v>99.867092924597586</v>
      </c>
      <c r="H1421" s="408">
        <v>100</v>
      </c>
      <c r="I1421" s="111"/>
    </row>
    <row r="1422" spans="3:9" ht="16.5" hidden="1" customHeight="1" x14ac:dyDescent="0.25">
      <c r="C1422" s="226"/>
      <c r="D1422" s="249" t="s">
        <v>864</v>
      </c>
      <c r="E1422" s="195">
        <f>E1423+E1427</f>
        <v>1039824250</v>
      </c>
      <c r="F1422" s="113">
        <f>F1423+F1427</f>
        <v>1038442250</v>
      </c>
      <c r="G1422" s="405">
        <f>F1422/E1422*100</f>
        <v>99.867092924597586</v>
      </c>
      <c r="H1422" s="408">
        <v>100</v>
      </c>
      <c r="I1422" s="111"/>
    </row>
    <row r="1423" spans="3:9" ht="39" hidden="1" customHeight="1" x14ac:dyDescent="0.25">
      <c r="C1423" s="226"/>
      <c r="D1423" s="249" t="s">
        <v>1238</v>
      </c>
      <c r="E1423" s="195">
        <v>800000000</v>
      </c>
      <c r="F1423" s="220">
        <v>799118000</v>
      </c>
      <c r="G1423" s="405">
        <v>99.889749999999992</v>
      </c>
      <c r="H1423" s="408">
        <v>100</v>
      </c>
      <c r="I1423" s="111"/>
    </row>
    <row r="1424" spans="3:9" ht="16.5" hidden="1" customHeight="1" x14ac:dyDescent="0.25">
      <c r="C1424" s="226"/>
      <c r="D1424" s="118" t="s">
        <v>1239</v>
      </c>
      <c r="E1424" s="116">
        <v>200000000</v>
      </c>
      <c r="F1424" s="221">
        <v>199748000</v>
      </c>
      <c r="G1424" s="406">
        <v>99.873999999999995</v>
      </c>
      <c r="H1424" s="407">
        <v>100</v>
      </c>
      <c r="I1424" s="111"/>
    </row>
    <row r="1425" spans="3:9" ht="16.5" hidden="1" customHeight="1" x14ac:dyDescent="0.25">
      <c r="C1425" s="226"/>
      <c r="D1425" s="118" t="s">
        <v>1240</v>
      </c>
      <c r="E1425" s="116">
        <v>400000000</v>
      </c>
      <c r="F1425" s="221">
        <v>399670000</v>
      </c>
      <c r="G1425" s="406">
        <v>99.917500000000004</v>
      </c>
      <c r="H1425" s="407">
        <v>100</v>
      </c>
      <c r="I1425" s="111"/>
    </row>
    <row r="1426" spans="3:9" ht="16.5" hidden="1" customHeight="1" x14ac:dyDescent="0.25">
      <c r="C1426" s="226"/>
      <c r="D1426" s="118" t="s">
        <v>1241</v>
      </c>
      <c r="E1426" s="116">
        <v>200000000</v>
      </c>
      <c r="F1426" s="221">
        <v>199700000</v>
      </c>
      <c r="G1426" s="406">
        <v>99.850000000000009</v>
      </c>
      <c r="H1426" s="407">
        <v>100</v>
      </c>
      <c r="I1426" s="111"/>
    </row>
    <row r="1427" spans="3:9" ht="16.5" hidden="1" customHeight="1" x14ac:dyDescent="0.25">
      <c r="C1427" s="226"/>
      <c r="D1427" s="249" t="s">
        <v>1242</v>
      </c>
      <c r="E1427" s="195">
        <v>239824250</v>
      </c>
      <c r="F1427" s="220">
        <v>239324250</v>
      </c>
      <c r="G1427" s="405">
        <v>99.791513994101933</v>
      </c>
      <c r="H1427" s="408">
        <f>H1428</f>
        <v>100</v>
      </c>
      <c r="I1427" s="111"/>
    </row>
    <row r="1428" spans="3:9" ht="16.5" hidden="1" customHeight="1" x14ac:dyDescent="0.25">
      <c r="C1428" s="226"/>
      <c r="D1428" s="118" t="s">
        <v>1243</v>
      </c>
      <c r="E1428" s="116">
        <v>239824250</v>
      </c>
      <c r="F1428" s="221">
        <v>239324250</v>
      </c>
      <c r="G1428" s="406">
        <v>99.791513994101933</v>
      </c>
      <c r="H1428" s="407">
        <v>100</v>
      </c>
      <c r="I1428" s="111"/>
    </row>
    <row r="1429" spans="3:9" ht="16.5" hidden="1" customHeight="1" x14ac:dyDescent="0.25">
      <c r="C1429" s="226"/>
      <c r="D1429" s="118"/>
      <c r="E1429" s="116"/>
      <c r="F1429" s="108"/>
      <c r="G1429" s="117"/>
      <c r="H1429" s="117"/>
      <c r="I1429" s="111"/>
    </row>
    <row r="1430" spans="3:9" ht="16.5" hidden="1" customHeight="1" x14ac:dyDescent="0.25">
      <c r="C1430" s="226"/>
      <c r="D1430" s="249" t="s">
        <v>1244</v>
      </c>
      <c r="E1430" s="116">
        <v>1300000000</v>
      </c>
      <c r="F1430" s="220">
        <v>1254849300</v>
      </c>
      <c r="G1430" s="405">
        <v>96.526869230769236</v>
      </c>
      <c r="H1430" s="408">
        <f>H1431</f>
        <v>100</v>
      </c>
      <c r="I1430" s="111"/>
    </row>
    <row r="1431" spans="3:9" ht="16.5" hidden="1" customHeight="1" x14ac:dyDescent="0.25">
      <c r="C1431" s="226"/>
      <c r="D1431" s="249" t="s">
        <v>731</v>
      </c>
      <c r="E1431" s="195">
        <v>1300000000</v>
      </c>
      <c r="F1431" s="220">
        <v>1254849300</v>
      </c>
      <c r="G1431" s="405">
        <v>96.526869230769236</v>
      </c>
      <c r="H1431" s="408">
        <f>H1432</f>
        <v>100</v>
      </c>
      <c r="I1431" s="111"/>
    </row>
    <row r="1432" spans="3:9" ht="16.5" hidden="1" customHeight="1" x14ac:dyDescent="0.25">
      <c r="C1432" s="226"/>
      <c r="D1432" s="249" t="s">
        <v>1245</v>
      </c>
      <c r="E1432" s="195">
        <f>SUM(E1433:E1435)</f>
        <v>1300000000</v>
      </c>
      <c r="F1432" s="347">
        <v>1254849300</v>
      </c>
      <c r="G1432" s="405">
        <v>96.526869230769236</v>
      </c>
      <c r="H1432" s="408">
        <f>H1433</f>
        <v>100</v>
      </c>
      <c r="I1432" s="111"/>
    </row>
    <row r="1433" spans="3:9" ht="16.5" hidden="1" customHeight="1" x14ac:dyDescent="0.25">
      <c r="C1433" s="389"/>
      <c r="D1433" s="118" t="s">
        <v>1246</v>
      </c>
      <c r="E1433" s="116">
        <v>500000000</v>
      </c>
      <c r="F1433" s="409">
        <v>495161300</v>
      </c>
      <c r="G1433" s="406">
        <v>99.032260000000008</v>
      </c>
      <c r="H1433" s="407">
        <v>100</v>
      </c>
      <c r="I1433" s="111"/>
    </row>
    <row r="1434" spans="3:9" ht="16.5" hidden="1" customHeight="1" x14ac:dyDescent="0.25">
      <c r="C1434" s="226"/>
      <c r="D1434" s="118" t="s">
        <v>1247</v>
      </c>
      <c r="E1434" s="116">
        <v>400000000</v>
      </c>
      <c r="F1434" s="409">
        <v>394990000</v>
      </c>
      <c r="G1434" s="406">
        <v>98.747500000000002</v>
      </c>
      <c r="H1434" s="407">
        <v>100</v>
      </c>
      <c r="I1434" s="111"/>
    </row>
    <row r="1435" spans="3:9" ht="30.75" hidden="1" customHeight="1" x14ac:dyDescent="0.25">
      <c r="C1435" s="226"/>
      <c r="D1435" s="118" t="s">
        <v>1248</v>
      </c>
      <c r="E1435" s="116">
        <v>400000000</v>
      </c>
      <c r="F1435" s="221">
        <v>364698000</v>
      </c>
      <c r="G1435" s="406">
        <v>91.174500000000009</v>
      </c>
      <c r="H1435" s="407">
        <v>100</v>
      </c>
      <c r="I1435" s="111"/>
    </row>
    <row r="1436" spans="3:9" ht="16.5" hidden="1" customHeight="1" x14ac:dyDescent="0.25">
      <c r="C1436" s="226"/>
      <c r="D1436" s="118"/>
      <c r="E1436" s="116"/>
      <c r="F1436" s="108"/>
      <c r="G1436" s="117"/>
      <c r="H1436" s="117"/>
      <c r="I1436" s="111"/>
    </row>
    <row r="1437" spans="3:9" ht="16.5" hidden="1" customHeight="1" x14ac:dyDescent="0.25">
      <c r="C1437" s="226"/>
      <c r="D1437" s="249" t="s">
        <v>1249</v>
      </c>
      <c r="E1437" s="116">
        <v>3200000000</v>
      </c>
      <c r="F1437" s="220">
        <v>3189105400</v>
      </c>
      <c r="G1437" s="405">
        <f t="shared" ref="G1437:G1447" si="79">F1437/E1437*100</f>
        <v>99.659543749999997</v>
      </c>
      <c r="H1437" s="408">
        <f>H1438</f>
        <v>100</v>
      </c>
      <c r="I1437" s="111"/>
    </row>
    <row r="1438" spans="3:9" ht="16.5" hidden="1" customHeight="1" x14ac:dyDescent="0.25">
      <c r="C1438" s="389"/>
      <c r="D1438" s="249" t="s">
        <v>1250</v>
      </c>
      <c r="E1438" s="195">
        <f>E1439+E1441+E1445</f>
        <v>3200000000</v>
      </c>
      <c r="F1438" s="113">
        <f>F1439+F1441+F1445</f>
        <v>3189105400</v>
      </c>
      <c r="G1438" s="405">
        <f t="shared" si="79"/>
        <v>99.659543749999997</v>
      </c>
      <c r="H1438" s="408">
        <f>(H1439+H1441+H1445)/3</f>
        <v>100</v>
      </c>
      <c r="I1438" s="111"/>
    </row>
    <row r="1439" spans="3:9" ht="16.5" hidden="1" customHeight="1" x14ac:dyDescent="0.25">
      <c r="C1439" s="226"/>
      <c r="D1439" s="249" t="s">
        <v>343</v>
      </c>
      <c r="E1439" s="195">
        <v>75000000</v>
      </c>
      <c r="F1439" s="347">
        <v>75000000</v>
      </c>
      <c r="G1439" s="405">
        <f t="shared" si="79"/>
        <v>100</v>
      </c>
      <c r="H1439" s="408">
        <f>H1440</f>
        <v>100</v>
      </c>
      <c r="I1439" s="111"/>
    </row>
    <row r="1440" spans="3:9" ht="16.5" hidden="1" customHeight="1" x14ac:dyDescent="0.25">
      <c r="C1440" s="226"/>
      <c r="D1440" s="118" t="s">
        <v>880</v>
      </c>
      <c r="E1440" s="116">
        <v>75000000</v>
      </c>
      <c r="F1440" s="409">
        <v>75000000</v>
      </c>
      <c r="G1440" s="406">
        <f t="shared" si="79"/>
        <v>100</v>
      </c>
      <c r="H1440" s="407">
        <v>100</v>
      </c>
      <c r="I1440" s="111"/>
    </row>
    <row r="1441" spans="3:9" ht="16.5" hidden="1" customHeight="1" x14ac:dyDescent="0.25">
      <c r="C1441" s="226"/>
      <c r="D1441" s="249" t="s">
        <v>929</v>
      </c>
      <c r="E1441" s="195">
        <v>2420000000</v>
      </c>
      <c r="F1441" s="220">
        <v>2414742400</v>
      </c>
      <c r="G1441" s="405">
        <f t="shared" si="79"/>
        <v>99.782743801652899</v>
      </c>
      <c r="H1441" s="408">
        <f>(H1442+H1443+H1444)/3</f>
        <v>100</v>
      </c>
      <c r="I1441" s="111"/>
    </row>
    <row r="1442" spans="3:9" ht="30.75" hidden="1" customHeight="1" x14ac:dyDescent="0.25">
      <c r="C1442" s="226"/>
      <c r="D1442" s="118" t="s">
        <v>1251</v>
      </c>
      <c r="E1442" s="116">
        <v>1420000000</v>
      </c>
      <c r="F1442" s="409">
        <v>1414742400</v>
      </c>
      <c r="G1442" s="406">
        <f t="shared" si="79"/>
        <v>99.629746478873244</v>
      </c>
      <c r="H1442" s="407">
        <v>100</v>
      </c>
      <c r="I1442" s="111"/>
    </row>
    <row r="1443" spans="3:9" ht="16.5" hidden="1" customHeight="1" x14ac:dyDescent="0.25">
      <c r="C1443" s="226"/>
      <c r="D1443" s="118" t="s">
        <v>1252</v>
      </c>
      <c r="E1443" s="116">
        <v>500000000</v>
      </c>
      <c r="F1443" s="221">
        <v>500000000</v>
      </c>
      <c r="G1443" s="406">
        <f t="shared" si="79"/>
        <v>100</v>
      </c>
      <c r="H1443" s="407">
        <v>100</v>
      </c>
      <c r="I1443" s="111"/>
    </row>
    <row r="1444" spans="3:9" ht="16.5" hidden="1" customHeight="1" x14ac:dyDescent="0.25">
      <c r="C1444" s="226"/>
      <c r="D1444" s="118" t="s">
        <v>1253</v>
      </c>
      <c r="E1444" s="116">
        <v>500000000</v>
      </c>
      <c r="F1444" s="221">
        <v>500000000</v>
      </c>
      <c r="G1444" s="406">
        <f t="shared" si="79"/>
        <v>100</v>
      </c>
      <c r="H1444" s="407">
        <v>100</v>
      </c>
      <c r="I1444" s="111"/>
    </row>
    <row r="1445" spans="3:9" ht="16.5" hidden="1" customHeight="1" x14ac:dyDescent="0.25">
      <c r="C1445" s="226"/>
      <c r="D1445" s="249" t="s">
        <v>299</v>
      </c>
      <c r="E1445" s="195">
        <v>705000000</v>
      </c>
      <c r="F1445" s="220">
        <v>699363000</v>
      </c>
      <c r="G1445" s="405">
        <f t="shared" si="79"/>
        <v>99.200425531914888</v>
      </c>
      <c r="H1445" s="408">
        <f>(H1446+H1447)/2</f>
        <v>100</v>
      </c>
      <c r="I1445" s="111"/>
    </row>
    <row r="1446" spans="3:9" ht="16.5" hidden="1" customHeight="1" x14ac:dyDescent="0.25">
      <c r="C1446" s="226"/>
      <c r="D1446" s="118" t="s">
        <v>1254</v>
      </c>
      <c r="E1446" s="116">
        <v>500000000</v>
      </c>
      <c r="F1446" s="409">
        <v>494363000</v>
      </c>
      <c r="G1446" s="406">
        <f t="shared" si="79"/>
        <v>98.872600000000006</v>
      </c>
      <c r="H1446" s="407">
        <v>100</v>
      </c>
      <c r="I1446" s="111"/>
    </row>
    <row r="1447" spans="3:9" ht="16.5" hidden="1" customHeight="1" x14ac:dyDescent="0.25">
      <c r="C1447" s="226"/>
      <c r="D1447" s="118" t="s">
        <v>1255</v>
      </c>
      <c r="E1447" s="116">
        <v>205000000</v>
      </c>
      <c r="F1447" s="221">
        <v>205000000</v>
      </c>
      <c r="G1447" s="406">
        <f t="shared" si="79"/>
        <v>100</v>
      </c>
      <c r="H1447" s="407">
        <v>100</v>
      </c>
      <c r="I1447" s="111"/>
    </row>
    <row r="1448" spans="3:9" ht="16.5" hidden="1" customHeight="1" x14ac:dyDescent="0.25">
      <c r="C1448" s="226"/>
      <c r="D1448" s="118"/>
      <c r="E1448" s="116"/>
      <c r="F1448" s="108"/>
      <c r="G1448" s="117"/>
      <c r="H1448" s="117"/>
      <c r="I1448" s="111"/>
    </row>
    <row r="1449" spans="3:9" ht="16.5" hidden="1" customHeight="1" x14ac:dyDescent="0.25">
      <c r="C1449" s="226"/>
      <c r="D1449" s="249" t="s">
        <v>1256</v>
      </c>
      <c r="E1449" s="195">
        <v>1400000000</v>
      </c>
      <c r="F1449" s="220">
        <v>1395240000</v>
      </c>
      <c r="G1449" s="405">
        <v>99.660000000000011</v>
      </c>
      <c r="H1449" s="408">
        <v>100</v>
      </c>
      <c r="I1449" s="111"/>
    </row>
    <row r="1450" spans="3:9" ht="16.5" hidden="1" customHeight="1" x14ac:dyDescent="0.25">
      <c r="C1450" s="226"/>
      <c r="D1450" s="249" t="s">
        <v>316</v>
      </c>
      <c r="E1450" s="195">
        <v>1400000000</v>
      </c>
      <c r="F1450" s="347">
        <v>1395240000</v>
      </c>
      <c r="G1450" s="405">
        <v>99.660000000000011</v>
      </c>
      <c r="H1450" s="408">
        <v>100</v>
      </c>
      <c r="I1450" s="111"/>
    </row>
    <row r="1451" spans="3:9" ht="16.5" hidden="1" customHeight="1" x14ac:dyDescent="0.25">
      <c r="C1451" s="226"/>
      <c r="D1451" s="249" t="s">
        <v>1257</v>
      </c>
      <c r="E1451" s="195">
        <f>SUM(E1452:E1457)</f>
        <v>1400000000</v>
      </c>
      <c r="F1451" s="113">
        <f>SUM(F1452:F1457)</f>
        <v>1395240000</v>
      </c>
      <c r="G1451" s="405">
        <v>99.660000000000011</v>
      </c>
      <c r="H1451" s="408">
        <v>100</v>
      </c>
      <c r="I1451" s="111"/>
    </row>
    <row r="1452" spans="3:9" ht="16.5" hidden="1" customHeight="1" x14ac:dyDescent="0.25">
      <c r="C1452" s="226"/>
      <c r="D1452" s="118" t="s">
        <v>1258</v>
      </c>
      <c r="E1452" s="116">
        <v>286000000</v>
      </c>
      <c r="F1452" s="409">
        <v>284740000</v>
      </c>
      <c r="G1452" s="406">
        <v>99.55944055944056</v>
      </c>
      <c r="H1452" s="407">
        <v>100</v>
      </c>
      <c r="I1452" s="111"/>
    </row>
    <row r="1453" spans="3:9" ht="16.5" hidden="1" customHeight="1" x14ac:dyDescent="0.25">
      <c r="C1453" s="226"/>
      <c r="D1453" s="118" t="s">
        <v>1259</v>
      </c>
      <c r="E1453" s="116">
        <v>145000000</v>
      </c>
      <c r="F1453" s="221">
        <v>145000000</v>
      </c>
      <c r="G1453" s="406">
        <v>100</v>
      </c>
      <c r="H1453" s="407">
        <v>100</v>
      </c>
      <c r="I1453" s="111"/>
    </row>
    <row r="1454" spans="3:9" ht="16.5" hidden="1" customHeight="1" x14ac:dyDescent="0.25">
      <c r="C1454" s="226"/>
      <c r="D1454" s="118" t="s">
        <v>1260</v>
      </c>
      <c r="E1454" s="116">
        <v>264500000</v>
      </c>
      <c r="F1454" s="409">
        <v>264500000</v>
      </c>
      <c r="G1454" s="406">
        <v>100</v>
      </c>
      <c r="H1454" s="407">
        <v>100</v>
      </c>
      <c r="I1454" s="111"/>
    </row>
    <row r="1455" spans="3:9" ht="16.5" hidden="1" customHeight="1" x14ac:dyDescent="0.25">
      <c r="C1455" s="226"/>
      <c r="D1455" s="118" t="s">
        <v>1261</v>
      </c>
      <c r="E1455" s="116">
        <v>246000000</v>
      </c>
      <c r="F1455" s="221">
        <v>246000000</v>
      </c>
      <c r="G1455" s="406">
        <v>100</v>
      </c>
      <c r="H1455" s="407">
        <v>100</v>
      </c>
      <c r="I1455" s="111"/>
    </row>
    <row r="1456" spans="3:9" ht="16.5" hidden="1" customHeight="1" x14ac:dyDescent="0.25">
      <c r="C1456" s="226"/>
      <c r="D1456" s="118" t="s">
        <v>1262</v>
      </c>
      <c r="E1456" s="116">
        <v>239000000</v>
      </c>
      <c r="F1456" s="221">
        <v>239000000</v>
      </c>
      <c r="G1456" s="406">
        <v>100</v>
      </c>
      <c r="H1456" s="407">
        <v>100</v>
      </c>
      <c r="I1456" s="111"/>
    </row>
    <row r="1457" spans="3:9" ht="16.5" hidden="1" customHeight="1" x14ac:dyDescent="0.25">
      <c r="C1457" s="389"/>
      <c r="D1457" s="118" t="s">
        <v>1263</v>
      </c>
      <c r="E1457" s="116">
        <v>219500000</v>
      </c>
      <c r="F1457" s="409">
        <v>216000000</v>
      </c>
      <c r="G1457" s="406">
        <v>98.405466970387252</v>
      </c>
      <c r="H1457" s="407">
        <v>100</v>
      </c>
      <c r="I1457" s="111"/>
    </row>
    <row r="1458" spans="3:9" ht="16.5" hidden="1" customHeight="1" x14ac:dyDescent="0.25">
      <c r="C1458" s="389"/>
      <c r="D1458" s="118"/>
      <c r="E1458" s="116"/>
      <c r="F1458" s="108"/>
      <c r="G1458" s="117"/>
      <c r="H1458" s="117"/>
      <c r="I1458" s="111"/>
    </row>
    <row r="1459" spans="3:9" ht="16.5" hidden="1" customHeight="1" x14ac:dyDescent="0.25">
      <c r="C1459" s="389"/>
      <c r="D1459" s="249" t="s">
        <v>1264</v>
      </c>
      <c r="E1459" s="195">
        <v>1000000000</v>
      </c>
      <c r="F1459" s="347">
        <v>810019800</v>
      </c>
      <c r="G1459" s="405">
        <v>81.001979999999989</v>
      </c>
      <c r="H1459" s="408">
        <f>H1460</f>
        <v>85</v>
      </c>
      <c r="I1459" s="111"/>
    </row>
    <row r="1460" spans="3:9" ht="16.5" hidden="1" customHeight="1" x14ac:dyDescent="0.25">
      <c r="C1460" s="389"/>
      <c r="D1460" s="249" t="s">
        <v>1265</v>
      </c>
      <c r="E1460" s="195">
        <v>1000000000</v>
      </c>
      <c r="F1460" s="347">
        <v>810019800</v>
      </c>
      <c r="G1460" s="405">
        <v>81.001979999999989</v>
      </c>
      <c r="H1460" s="408">
        <f>H1461</f>
        <v>85</v>
      </c>
      <c r="I1460" s="111"/>
    </row>
    <row r="1461" spans="3:9" ht="16.5" hidden="1" customHeight="1" x14ac:dyDescent="0.25">
      <c r="C1461" s="226"/>
      <c r="D1461" s="249" t="s">
        <v>1266</v>
      </c>
      <c r="E1461" s="195">
        <v>1000000000</v>
      </c>
      <c r="F1461" s="220">
        <v>810019800</v>
      </c>
      <c r="G1461" s="405">
        <v>81.001979999999989</v>
      </c>
      <c r="H1461" s="408">
        <f>(H1462+H1463)/2</f>
        <v>85</v>
      </c>
      <c r="I1461" s="111"/>
    </row>
    <row r="1462" spans="3:9" ht="16.5" hidden="1" customHeight="1" x14ac:dyDescent="0.25">
      <c r="C1462" s="226"/>
      <c r="D1462" s="118" t="s">
        <v>1267</v>
      </c>
      <c r="E1462" s="116">
        <v>750000000</v>
      </c>
      <c r="F1462" s="221">
        <v>625581800</v>
      </c>
      <c r="G1462" s="406">
        <v>83.410906666666662</v>
      </c>
      <c r="H1462" s="407">
        <v>90</v>
      </c>
      <c r="I1462" s="111"/>
    </row>
    <row r="1463" spans="3:9" ht="30.75" hidden="1" customHeight="1" x14ac:dyDescent="0.25">
      <c r="C1463" s="226"/>
      <c r="D1463" s="118" t="s">
        <v>1268</v>
      </c>
      <c r="E1463" s="116">
        <v>250000000</v>
      </c>
      <c r="F1463" s="409">
        <v>184438000</v>
      </c>
      <c r="G1463" s="406">
        <v>73.775199999999998</v>
      </c>
      <c r="H1463" s="407">
        <v>80</v>
      </c>
      <c r="I1463" s="111"/>
    </row>
    <row r="1464" spans="3:9" ht="16.5" hidden="1" customHeight="1" x14ac:dyDescent="0.25">
      <c r="C1464" s="226"/>
      <c r="D1464" s="118"/>
      <c r="E1464" s="116"/>
      <c r="F1464" s="108"/>
      <c r="G1464" s="117"/>
      <c r="H1464" s="117"/>
      <c r="I1464" s="111"/>
    </row>
    <row r="1465" spans="3:9" ht="16.5" hidden="1" customHeight="1" x14ac:dyDescent="0.25">
      <c r="C1465" s="389"/>
      <c r="D1465" s="249" t="s">
        <v>1269</v>
      </c>
      <c r="E1465" s="195">
        <v>1000000000</v>
      </c>
      <c r="F1465" s="220">
        <v>263166600</v>
      </c>
      <c r="G1465" s="405">
        <v>26.316659999999999</v>
      </c>
      <c r="H1465" s="408">
        <f>H1466</f>
        <v>47.5</v>
      </c>
      <c r="I1465" s="111"/>
    </row>
    <row r="1466" spans="3:9" ht="16.5" hidden="1" customHeight="1" x14ac:dyDescent="0.25">
      <c r="C1466" s="389"/>
      <c r="D1466" s="249" t="s">
        <v>1270</v>
      </c>
      <c r="E1466" s="195">
        <v>1000000000</v>
      </c>
      <c r="F1466" s="347">
        <v>263166600</v>
      </c>
      <c r="G1466" s="405">
        <v>26.316659999999999</v>
      </c>
      <c r="H1466" s="408">
        <f>H1467</f>
        <v>47.5</v>
      </c>
      <c r="I1466" s="111"/>
    </row>
    <row r="1467" spans="3:9" ht="16.5" hidden="1" customHeight="1" x14ac:dyDescent="0.25">
      <c r="C1467" s="226"/>
      <c r="D1467" s="249" t="s">
        <v>1271</v>
      </c>
      <c r="E1467" s="195">
        <v>1000000000</v>
      </c>
      <c r="F1467" s="220">
        <v>263166600</v>
      </c>
      <c r="G1467" s="405">
        <v>26.316659999999999</v>
      </c>
      <c r="H1467" s="408">
        <f>(H1468+H1469)/2</f>
        <v>47.5</v>
      </c>
      <c r="I1467" s="111"/>
    </row>
    <row r="1468" spans="3:9" ht="16.5" hidden="1" customHeight="1" x14ac:dyDescent="0.25">
      <c r="C1468" s="226"/>
      <c r="D1468" s="118" t="s">
        <v>1272</v>
      </c>
      <c r="E1468" s="116">
        <v>700000000</v>
      </c>
      <c r="F1468" s="221">
        <v>0</v>
      </c>
      <c r="G1468" s="406">
        <v>0</v>
      </c>
      <c r="H1468" s="407"/>
      <c r="I1468" s="111"/>
    </row>
    <row r="1469" spans="3:9" ht="16.5" hidden="1" customHeight="1" x14ac:dyDescent="0.25">
      <c r="C1469" s="226"/>
      <c r="D1469" s="118" t="s">
        <v>1273</v>
      </c>
      <c r="E1469" s="116">
        <v>300000000</v>
      </c>
      <c r="F1469" s="409">
        <v>263166600</v>
      </c>
      <c r="G1469" s="406">
        <v>87.722200000000001</v>
      </c>
      <c r="H1469" s="407">
        <v>95</v>
      </c>
      <c r="I1469" s="111"/>
    </row>
    <row r="1470" spans="3:9" ht="16.5" hidden="1" customHeight="1" x14ac:dyDescent="0.25">
      <c r="C1470" s="226"/>
      <c r="D1470" s="118"/>
      <c r="E1470" s="116"/>
      <c r="F1470" s="108"/>
      <c r="G1470" s="117"/>
      <c r="H1470" s="117"/>
      <c r="I1470" s="111"/>
    </row>
    <row r="1471" spans="3:9" ht="16.5" hidden="1" customHeight="1" x14ac:dyDescent="0.25">
      <c r="C1471" s="226"/>
      <c r="D1471" s="249" t="s">
        <v>1274</v>
      </c>
      <c r="E1471" s="195">
        <v>800000000</v>
      </c>
      <c r="F1471" s="347">
        <v>799850000</v>
      </c>
      <c r="G1471" s="405">
        <v>99.981250000000003</v>
      </c>
      <c r="H1471" s="408">
        <f>H1472</f>
        <v>100</v>
      </c>
      <c r="I1471" s="111"/>
    </row>
    <row r="1472" spans="3:9" ht="16.5" hidden="1" customHeight="1" x14ac:dyDescent="0.25">
      <c r="C1472" s="226"/>
      <c r="D1472" s="249" t="s">
        <v>1275</v>
      </c>
      <c r="E1472" s="195">
        <f>E1473+E1475+E1478</f>
        <v>800000000</v>
      </c>
      <c r="F1472" s="347">
        <v>799850000</v>
      </c>
      <c r="G1472" s="405">
        <v>99.981250000000003</v>
      </c>
      <c r="H1472" s="408">
        <f>(H1473+H1475+H1478)/3</f>
        <v>100</v>
      </c>
      <c r="I1472" s="111"/>
    </row>
    <row r="1473" spans="3:9" ht="16.5" hidden="1" customHeight="1" x14ac:dyDescent="0.25">
      <c r="C1473" s="226"/>
      <c r="D1473" s="249" t="s">
        <v>1276</v>
      </c>
      <c r="E1473" s="195">
        <v>90515500</v>
      </c>
      <c r="F1473" s="220">
        <v>90515500</v>
      </c>
      <c r="G1473" s="405">
        <v>100</v>
      </c>
      <c r="H1473" s="408">
        <f>H1474</f>
        <v>100</v>
      </c>
      <c r="I1473" s="111"/>
    </row>
    <row r="1474" spans="3:9" ht="16.5" hidden="1" customHeight="1" x14ac:dyDescent="0.25">
      <c r="C1474" s="226"/>
      <c r="D1474" s="118" t="s">
        <v>1277</v>
      </c>
      <c r="E1474" s="116">
        <v>90515500</v>
      </c>
      <c r="F1474" s="221">
        <v>90515500</v>
      </c>
      <c r="G1474" s="406">
        <v>100</v>
      </c>
      <c r="H1474" s="407">
        <v>100</v>
      </c>
      <c r="I1474" s="111"/>
    </row>
    <row r="1475" spans="3:9" ht="16.5" hidden="1" customHeight="1" x14ac:dyDescent="0.25">
      <c r="C1475" s="226"/>
      <c r="D1475" s="249" t="s">
        <v>1278</v>
      </c>
      <c r="E1475" s="116">
        <v>374480000</v>
      </c>
      <c r="F1475" s="220">
        <v>374480000</v>
      </c>
      <c r="G1475" s="405">
        <v>100</v>
      </c>
      <c r="H1475" s="408">
        <f>H1476</f>
        <v>100</v>
      </c>
      <c r="I1475" s="111"/>
    </row>
    <row r="1476" spans="3:9" ht="16.5" hidden="1" customHeight="1" x14ac:dyDescent="0.25">
      <c r="C1476" s="226"/>
      <c r="D1476" s="118" t="s">
        <v>1279</v>
      </c>
      <c r="E1476" s="116">
        <v>200000000</v>
      </c>
      <c r="F1476" s="221">
        <v>200000000</v>
      </c>
      <c r="G1476" s="406">
        <v>100</v>
      </c>
      <c r="H1476" s="407">
        <v>100</v>
      </c>
      <c r="I1476" s="111"/>
    </row>
    <row r="1477" spans="3:9" ht="16.5" hidden="1" customHeight="1" x14ac:dyDescent="0.25">
      <c r="C1477" s="389"/>
      <c r="D1477" s="118" t="s">
        <v>1280</v>
      </c>
      <c r="E1477" s="116">
        <v>174480000</v>
      </c>
      <c r="F1477" s="221">
        <v>174480000</v>
      </c>
      <c r="G1477" s="406">
        <v>100</v>
      </c>
      <c r="H1477" s="407">
        <v>100</v>
      </c>
      <c r="I1477" s="111"/>
    </row>
    <row r="1478" spans="3:9" ht="16.5" hidden="1" customHeight="1" x14ac:dyDescent="0.25">
      <c r="C1478" s="389"/>
      <c r="D1478" s="249" t="s">
        <v>1281</v>
      </c>
      <c r="E1478" s="195">
        <v>335004500</v>
      </c>
      <c r="F1478" s="220">
        <v>334854500</v>
      </c>
      <c r="G1478" s="405">
        <v>99.955224482059208</v>
      </c>
      <c r="H1478" s="408">
        <f>(H1479+H1480)/2</f>
        <v>100</v>
      </c>
      <c r="I1478" s="111"/>
    </row>
    <row r="1479" spans="3:9" ht="30.75" hidden="1" customHeight="1" x14ac:dyDescent="0.25">
      <c r="C1479" s="389"/>
      <c r="D1479" s="118" t="s">
        <v>1282</v>
      </c>
      <c r="E1479" s="116">
        <v>186704500</v>
      </c>
      <c r="F1479" s="221">
        <v>186604500</v>
      </c>
      <c r="G1479" s="406">
        <v>99.946439427008997</v>
      </c>
      <c r="H1479" s="407">
        <v>100</v>
      </c>
      <c r="I1479" s="111"/>
    </row>
    <row r="1480" spans="3:9" ht="16.5" hidden="1" customHeight="1" x14ac:dyDescent="0.25">
      <c r="C1480" s="226"/>
      <c r="D1480" s="118" t="s">
        <v>1283</v>
      </c>
      <c r="E1480" s="116">
        <v>148300000</v>
      </c>
      <c r="F1480" s="221">
        <v>148250000</v>
      </c>
      <c r="G1480" s="406">
        <v>99.966284558327715</v>
      </c>
      <c r="H1480" s="407">
        <v>100</v>
      </c>
      <c r="I1480" s="111"/>
    </row>
    <row r="1481" spans="3:9" ht="16.5" hidden="1" customHeight="1" x14ac:dyDescent="0.25">
      <c r="C1481" s="226"/>
      <c r="D1481" s="118"/>
      <c r="E1481" s="116"/>
      <c r="F1481" s="108"/>
      <c r="G1481" s="117"/>
      <c r="H1481" s="117"/>
      <c r="I1481" s="111"/>
    </row>
    <row r="1482" spans="3:9" ht="16.5" hidden="1" customHeight="1" x14ac:dyDescent="0.25">
      <c r="C1482" s="226"/>
      <c r="D1482" s="249" t="s">
        <v>1284</v>
      </c>
      <c r="E1482" s="195">
        <v>8000000000</v>
      </c>
      <c r="F1482" s="220">
        <v>1832450000</v>
      </c>
      <c r="G1482" s="405">
        <f t="shared" ref="G1482:G1489" si="80">F1482/E1482*100</f>
        <v>22.905625000000001</v>
      </c>
      <c r="H1482" s="408">
        <f>H1483</f>
        <v>52.5</v>
      </c>
      <c r="I1482" s="111"/>
    </row>
    <row r="1483" spans="3:9" ht="16.5" hidden="1" customHeight="1" x14ac:dyDescent="0.25">
      <c r="C1483" s="226"/>
      <c r="D1483" s="249" t="s">
        <v>869</v>
      </c>
      <c r="E1483" s="195">
        <v>8000000000</v>
      </c>
      <c r="F1483" s="220">
        <v>1832450000</v>
      </c>
      <c r="G1483" s="405">
        <f t="shared" si="80"/>
        <v>22.905625000000001</v>
      </c>
      <c r="H1483" s="408">
        <f>(H1484+H1487)/2</f>
        <v>52.5</v>
      </c>
      <c r="I1483" s="111"/>
    </row>
    <row r="1484" spans="3:9" ht="16.5" hidden="1" customHeight="1" x14ac:dyDescent="0.25">
      <c r="C1484" s="389"/>
      <c r="D1484" s="249" t="s">
        <v>1285</v>
      </c>
      <c r="E1484" s="195">
        <v>6127140000</v>
      </c>
      <c r="F1484" s="220">
        <v>1009390000</v>
      </c>
      <c r="G1484" s="405">
        <f t="shared" si="80"/>
        <v>16.474080892553459</v>
      </c>
      <c r="H1484" s="408">
        <f>(H1485+H1486)/2</f>
        <v>55</v>
      </c>
      <c r="I1484" s="111"/>
    </row>
    <row r="1485" spans="3:9" ht="16.5" hidden="1" customHeight="1" x14ac:dyDescent="0.25">
      <c r="C1485" s="226"/>
      <c r="D1485" s="118" t="s">
        <v>1286</v>
      </c>
      <c r="E1485" s="116">
        <v>5500000000</v>
      </c>
      <c r="F1485" s="221">
        <v>389380000</v>
      </c>
      <c r="G1485" s="406">
        <f t="shared" si="80"/>
        <v>7.0796363636363626</v>
      </c>
      <c r="H1485" s="407">
        <v>10</v>
      </c>
      <c r="I1485" s="111"/>
    </row>
    <row r="1486" spans="3:9" ht="16.5" hidden="1" customHeight="1" x14ac:dyDescent="0.25">
      <c r="C1486" s="226"/>
      <c r="D1486" s="118" t="s">
        <v>1287</v>
      </c>
      <c r="E1486" s="116">
        <v>627140000</v>
      </c>
      <c r="F1486" s="409">
        <v>620010000</v>
      </c>
      <c r="G1486" s="406">
        <f t="shared" si="80"/>
        <v>98.863092770354314</v>
      </c>
      <c r="H1486" s="407">
        <v>100</v>
      </c>
      <c r="I1486" s="111"/>
    </row>
    <row r="1487" spans="3:9" ht="16.5" hidden="1" customHeight="1" x14ac:dyDescent="0.25">
      <c r="C1487" s="226"/>
      <c r="D1487" s="249" t="s">
        <v>1288</v>
      </c>
      <c r="E1487" s="195">
        <v>1872860000</v>
      </c>
      <c r="F1487" s="347">
        <v>823060000</v>
      </c>
      <c r="G1487" s="405">
        <f t="shared" si="80"/>
        <v>43.946691156840338</v>
      </c>
      <c r="H1487" s="408">
        <f>(H1488+H1489)/2</f>
        <v>50</v>
      </c>
      <c r="I1487" s="111"/>
    </row>
    <row r="1488" spans="3:9" ht="16.5" hidden="1" customHeight="1" x14ac:dyDescent="0.25">
      <c r="C1488" s="389"/>
      <c r="D1488" s="118" t="s">
        <v>1289</v>
      </c>
      <c r="E1488" s="116">
        <v>872860000</v>
      </c>
      <c r="F1488" s="409">
        <v>823060000</v>
      </c>
      <c r="G1488" s="406">
        <f t="shared" si="80"/>
        <v>94.294617693559104</v>
      </c>
      <c r="H1488" s="407">
        <v>100</v>
      </c>
      <c r="I1488" s="111"/>
    </row>
    <row r="1489" spans="3:9" ht="16.5" hidden="1" customHeight="1" x14ac:dyDescent="0.25">
      <c r="C1489" s="226"/>
      <c r="D1489" s="118" t="s">
        <v>1290</v>
      </c>
      <c r="E1489" s="116">
        <v>1000000000</v>
      </c>
      <c r="F1489" s="221">
        <v>0</v>
      </c>
      <c r="G1489" s="406">
        <f t="shared" si="80"/>
        <v>0</v>
      </c>
      <c r="H1489" s="407">
        <v>0</v>
      </c>
      <c r="I1489" s="111"/>
    </row>
    <row r="1490" spans="3:9" ht="16.5" hidden="1" customHeight="1" x14ac:dyDescent="0.25">
      <c r="C1490" s="226"/>
      <c r="D1490" s="118"/>
      <c r="E1490" s="116"/>
      <c r="F1490" s="108"/>
      <c r="G1490" s="117"/>
      <c r="H1490" s="117"/>
      <c r="I1490" s="111"/>
    </row>
    <row r="1491" spans="3:9" ht="16.5" hidden="1" customHeight="1" x14ac:dyDescent="0.25">
      <c r="C1491" s="226"/>
      <c r="D1491" s="249" t="s">
        <v>1291</v>
      </c>
      <c r="E1491" s="195">
        <v>1000000000</v>
      </c>
      <c r="F1491" s="220">
        <v>995900000</v>
      </c>
      <c r="G1491" s="405">
        <v>99.59</v>
      </c>
      <c r="H1491" s="408">
        <f>H1492</f>
        <v>100</v>
      </c>
      <c r="I1491" s="111"/>
    </row>
    <row r="1492" spans="3:9" ht="16.5" hidden="1" customHeight="1" x14ac:dyDescent="0.25">
      <c r="C1492" s="226"/>
      <c r="D1492" s="249" t="s">
        <v>363</v>
      </c>
      <c r="E1492" s="195">
        <v>1000000000</v>
      </c>
      <c r="F1492" s="347">
        <v>995900000</v>
      </c>
      <c r="G1492" s="405">
        <v>99.59</v>
      </c>
      <c r="H1492" s="408">
        <f>H1493</f>
        <v>100</v>
      </c>
      <c r="I1492" s="111"/>
    </row>
    <row r="1493" spans="3:9" ht="16.5" hidden="1" customHeight="1" x14ac:dyDescent="0.25">
      <c r="C1493" s="226"/>
      <c r="D1493" s="249" t="s">
        <v>1292</v>
      </c>
      <c r="E1493" s="195">
        <v>500000000</v>
      </c>
      <c r="F1493" s="347">
        <v>500000000</v>
      </c>
      <c r="G1493" s="405">
        <v>100</v>
      </c>
      <c r="H1493" s="408">
        <f>H1494</f>
        <v>100</v>
      </c>
      <c r="I1493" s="111"/>
    </row>
    <row r="1494" spans="3:9" ht="30.75" hidden="1" customHeight="1" x14ac:dyDescent="0.25">
      <c r="C1494" s="226"/>
      <c r="D1494" s="118" t="s">
        <v>1293</v>
      </c>
      <c r="E1494" s="116">
        <v>500000000</v>
      </c>
      <c r="F1494" s="409">
        <v>500000000</v>
      </c>
      <c r="G1494" s="406">
        <v>100</v>
      </c>
      <c r="H1494" s="407">
        <v>100</v>
      </c>
      <c r="I1494" s="111"/>
    </row>
    <row r="1495" spans="3:9" ht="30.75" hidden="1" customHeight="1" x14ac:dyDescent="0.25">
      <c r="C1495" s="226"/>
      <c r="D1495" s="249" t="s">
        <v>364</v>
      </c>
      <c r="E1495" s="195">
        <v>500000000</v>
      </c>
      <c r="F1495" s="220">
        <v>495900000</v>
      </c>
      <c r="G1495" s="405">
        <v>99.18</v>
      </c>
      <c r="H1495" s="408">
        <f>(H1496+H1497)/2</f>
        <v>100</v>
      </c>
      <c r="I1495" s="111"/>
    </row>
    <row r="1496" spans="3:9" ht="16.5" hidden="1" customHeight="1" x14ac:dyDescent="0.25">
      <c r="C1496" s="226"/>
      <c r="D1496" s="118" t="s">
        <v>1294</v>
      </c>
      <c r="E1496" s="116">
        <v>300000000</v>
      </c>
      <c r="F1496" s="409">
        <v>295900000</v>
      </c>
      <c r="G1496" s="406">
        <v>98.633333333333326</v>
      </c>
      <c r="H1496" s="407">
        <v>100</v>
      </c>
      <c r="I1496" s="111"/>
    </row>
    <row r="1497" spans="3:9" ht="16.5" hidden="1" customHeight="1" x14ac:dyDescent="0.25">
      <c r="C1497" s="389"/>
      <c r="D1497" s="118" t="s">
        <v>1295</v>
      </c>
      <c r="E1497" s="116">
        <v>200000000</v>
      </c>
      <c r="F1497" s="409">
        <v>200000000</v>
      </c>
      <c r="G1497" s="406">
        <v>100</v>
      </c>
      <c r="H1497" s="407">
        <v>100</v>
      </c>
      <c r="I1497" s="111"/>
    </row>
    <row r="1498" spans="3:9" ht="16.5" hidden="1" customHeight="1" x14ac:dyDescent="0.25">
      <c r="C1498" s="389"/>
      <c r="D1498" s="118"/>
      <c r="E1498" s="116"/>
      <c r="F1498" s="108"/>
      <c r="G1498" s="117"/>
      <c r="H1498" s="117"/>
      <c r="I1498" s="111"/>
    </row>
    <row r="1499" spans="3:9" ht="16.5" hidden="1" customHeight="1" x14ac:dyDescent="0.25">
      <c r="C1499" s="389"/>
      <c r="D1499" s="249" t="s">
        <v>1296</v>
      </c>
      <c r="E1499" s="195">
        <v>1000000000</v>
      </c>
      <c r="F1499" s="220">
        <v>952300000</v>
      </c>
      <c r="G1499" s="405">
        <f t="shared" ref="G1499:G1505" si="81">F1499/E1499*100</f>
        <v>95.23</v>
      </c>
      <c r="H1499" s="408">
        <f>H1500</f>
        <v>90</v>
      </c>
      <c r="I1499" s="111"/>
    </row>
    <row r="1500" spans="3:9" ht="16.5" hidden="1" customHeight="1" x14ac:dyDescent="0.25">
      <c r="C1500" s="226"/>
      <c r="D1500" s="249" t="s">
        <v>1297</v>
      </c>
      <c r="E1500" s="195">
        <v>1000000000</v>
      </c>
      <c r="F1500" s="220">
        <v>952300000</v>
      </c>
      <c r="G1500" s="405">
        <f t="shared" si="81"/>
        <v>95.23</v>
      </c>
      <c r="H1500" s="408">
        <f>(H1501+H1504)/2</f>
        <v>90</v>
      </c>
      <c r="I1500" s="111"/>
    </row>
    <row r="1501" spans="3:9" ht="16.5" hidden="1" customHeight="1" x14ac:dyDescent="0.25">
      <c r="C1501" s="226"/>
      <c r="D1501" s="249" t="s">
        <v>393</v>
      </c>
      <c r="E1501" s="195">
        <v>850000000</v>
      </c>
      <c r="F1501" s="220">
        <v>843000000</v>
      </c>
      <c r="G1501" s="405">
        <f t="shared" si="81"/>
        <v>99.176470588235304</v>
      </c>
      <c r="H1501" s="408">
        <f>(H1502+H1503)/2</f>
        <v>100</v>
      </c>
      <c r="I1501" s="111"/>
    </row>
    <row r="1502" spans="3:9" ht="16.5" hidden="1" customHeight="1" x14ac:dyDescent="0.25">
      <c r="C1502" s="226"/>
      <c r="D1502" s="118" t="s">
        <v>1298</v>
      </c>
      <c r="E1502" s="116">
        <v>150000000</v>
      </c>
      <c r="F1502" s="221">
        <v>150000000</v>
      </c>
      <c r="G1502" s="406">
        <f t="shared" si="81"/>
        <v>100</v>
      </c>
      <c r="H1502" s="407">
        <v>100</v>
      </c>
      <c r="I1502" s="111"/>
    </row>
    <row r="1503" spans="3:9" ht="30.75" hidden="1" customHeight="1" x14ac:dyDescent="0.25">
      <c r="C1503" s="226"/>
      <c r="D1503" s="118" t="s">
        <v>1299</v>
      </c>
      <c r="E1503" s="116">
        <v>700000000</v>
      </c>
      <c r="F1503" s="221">
        <v>693000000</v>
      </c>
      <c r="G1503" s="406">
        <f t="shared" si="81"/>
        <v>99</v>
      </c>
      <c r="H1503" s="407">
        <v>100</v>
      </c>
      <c r="I1503" s="111"/>
    </row>
    <row r="1504" spans="3:9" ht="16.5" hidden="1" customHeight="1" x14ac:dyDescent="0.25">
      <c r="C1504" s="226"/>
      <c r="D1504" s="249" t="s">
        <v>1300</v>
      </c>
      <c r="E1504" s="195">
        <v>150000000</v>
      </c>
      <c r="F1504" s="220">
        <v>109300000</v>
      </c>
      <c r="G1504" s="405">
        <f t="shared" si="81"/>
        <v>72.866666666666674</v>
      </c>
      <c r="H1504" s="408">
        <f>H1505</f>
        <v>80</v>
      </c>
      <c r="I1504" s="111"/>
    </row>
    <row r="1505" spans="3:9" ht="16.5" hidden="1" customHeight="1" x14ac:dyDescent="0.25">
      <c r="C1505" s="226"/>
      <c r="D1505" s="118" t="s">
        <v>1301</v>
      </c>
      <c r="E1505" s="116">
        <v>150000000</v>
      </c>
      <c r="F1505" s="221">
        <v>109300000</v>
      </c>
      <c r="G1505" s="406">
        <f t="shared" si="81"/>
        <v>72.866666666666674</v>
      </c>
      <c r="H1505" s="407">
        <v>80</v>
      </c>
      <c r="I1505" s="111"/>
    </row>
    <row r="1506" spans="3:9" ht="16.5" hidden="1" customHeight="1" x14ac:dyDescent="0.25">
      <c r="C1506" s="226"/>
      <c r="D1506" s="118"/>
      <c r="E1506" s="116"/>
      <c r="F1506" s="108"/>
      <c r="G1506" s="117"/>
      <c r="H1506" s="117"/>
      <c r="I1506" s="111"/>
    </row>
    <row r="1507" spans="3:9" ht="16.5" hidden="1" customHeight="1" x14ac:dyDescent="0.25">
      <c r="C1507" s="226"/>
      <c r="D1507" s="249" t="s">
        <v>1302</v>
      </c>
      <c r="E1507" s="195">
        <v>2500000000</v>
      </c>
      <c r="F1507" s="220">
        <v>2382065100</v>
      </c>
      <c r="G1507" s="405">
        <v>95.282604000000006</v>
      </c>
      <c r="H1507" s="408">
        <f>H1508</f>
        <v>100</v>
      </c>
      <c r="I1507" s="111"/>
    </row>
    <row r="1508" spans="3:9" ht="16.5" hidden="1" customHeight="1" x14ac:dyDescent="0.25">
      <c r="C1508" s="226"/>
      <c r="D1508" s="249" t="s">
        <v>905</v>
      </c>
      <c r="E1508" s="195">
        <v>2500000000</v>
      </c>
      <c r="F1508" s="347">
        <v>2382065100</v>
      </c>
      <c r="G1508" s="405">
        <v>95.282604000000006</v>
      </c>
      <c r="H1508" s="408">
        <f>(H1509+H1512)/2</f>
        <v>100</v>
      </c>
      <c r="I1508" s="111"/>
    </row>
    <row r="1509" spans="3:9" ht="16.5" hidden="1" customHeight="1" x14ac:dyDescent="0.25">
      <c r="C1509" s="389"/>
      <c r="D1509" s="249" t="s">
        <v>396</v>
      </c>
      <c r="E1509" s="195">
        <v>2200000000</v>
      </c>
      <c r="F1509" s="347">
        <v>2082292100</v>
      </c>
      <c r="G1509" s="405">
        <v>94.649640909090905</v>
      </c>
      <c r="H1509" s="408">
        <f>(H1510+H1511)/2</f>
        <v>100</v>
      </c>
      <c r="I1509" s="111"/>
    </row>
    <row r="1510" spans="3:9" ht="16.5" hidden="1" customHeight="1" x14ac:dyDescent="0.25">
      <c r="C1510" s="389"/>
      <c r="D1510" s="118" t="s">
        <v>1303</v>
      </c>
      <c r="E1510" s="116">
        <v>1500000000</v>
      </c>
      <c r="F1510" s="409">
        <v>1403030400</v>
      </c>
      <c r="G1510" s="406">
        <v>93.535359999999997</v>
      </c>
      <c r="H1510" s="407">
        <v>100</v>
      </c>
      <c r="I1510" s="111"/>
    </row>
    <row r="1511" spans="3:9" ht="16.5" hidden="1" customHeight="1" x14ac:dyDescent="0.25">
      <c r="C1511" s="226"/>
      <c r="D1511" s="118" t="s">
        <v>1303</v>
      </c>
      <c r="E1511" s="116">
        <v>700000000</v>
      </c>
      <c r="F1511" s="221">
        <v>679261700</v>
      </c>
      <c r="G1511" s="406">
        <v>97.037385714285719</v>
      </c>
      <c r="H1511" s="407">
        <v>100</v>
      </c>
      <c r="I1511" s="111"/>
    </row>
    <row r="1512" spans="3:9" ht="16.5" hidden="1" customHeight="1" x14ac:dyDescent="0.25">
      <c r="C1512" s="226"/>
      <c r="D1512" s="249" t="s">
        <v>441</v>
      </c>
      <c r="E1512" s="116">
        <v>300000000</v>
      </c>
      <c r="F1512" s="220">
        <v>299773000</v>
      </c>
      <c r="G1512" s="405">
        <v>99.924333333333337</v>
      </c>
      <c r="H1512" s="408">
        <f>H1513</f>
        <v>100</v>
      </c>
      <c r="I1512" s="111"/>
    </row>
    <row r="1513" spans="3:9" ht="30.75" hidden="1" customHeight="1" x14ac:dyDescent="0.25">
      <c r="C1513" s="226"/>
      <c r="D1513" s="118" t="s">
        <v>1304</v>
      </c>
      <c r="E1513" s="116">
        <v>300000000</v>
      </c>
      <c r="F1513" s="221">
        <v>299773000</v>
      </c>
      <c r="G1513" s="406">
        <v>99.924333333333337</v>
      </c>
      <c r="H1513" s="407">
        <v>100</v>
      </c>
      <c r="I1513" s="111"/>
    </row>
    <row r="1514" spans="3:9" ht="16.5" hidden="1" customHeight="1" x14ac:dyDescent="0.25">
      <c r="C1514" s="226"/>
      <c r="D1514" s="118"/>
      <c r="E1514" s="116"/>
      <c r="F1514" s="108"/>
      <c r="G1514" s="117"/>
      <c r="H1514" s="117"/>
      <c r="I1514" s="111"/>
    </row>
    <row r="1515" spans="3:9" s="115" customFormat="1" ht="16.5" hidden="1" customHeight="1" x14ac:dyDescent="0.25">
      <c r="C1515" s="222"/>
      <c r="D1515" s="249" t="s">
        <v>1305</v>
      </c>
      <c r="E1515" s="195">
        <v>2000000000</v>
      </c>
      <c r="F1515" s="347">
        <v>1941885000</v>
      </c>
      <c r="G1515" s="405">
        <f t="shared" ref="G1515:G1524" si="82">F1515/E1515*100</f>
        <v>97.094250000000002</v>
      </c>
      <c r="H1515" s="408">
        <f>H1516</f>
        <v>100</v>
      </c>
      <c r="I1515" s="121"/>
    </row>
    <row r="1516" spans="3:9" s="115" customFormat="1" ht="16.5" hidden="1" customHeight="1" x14ac:dyDescent="0.25">
      <c r="C1516" s="222"/>
      <c r="D1516" s="249" t="s">
        <v>415</v>
      </c>
      <c r="E1516" s="195">
        <v>2000000000</v>
      </c>
      <c r="F1516" s="220">
        <v>1941885000</v>
      </c>
      <c r="G1516" s="405">
        <f t="shared" si="82"/>
        <v>97.094250000000002</v>
      </c>
      <c r="H1516" s="408">
        <f>(H1517+H1519+H1521+H1523)/4</f>
        <v>100</v>
      </c>
      <c r="I1516" s="121"/>
    </row>
    <row r="1517" spans="3:9" s="115" customFormat="1" ht="16.5" hidden="1" customHeight="1" x14ac:dyDescent="0.25">
      <c r="C1517" s="390"/>
      <c r="D1517" s="249" t="s">
        <v>766</v>
      </c>
      <c r="E1517" s="195">
        <v>1119000000</v>
      </c>
      <c r="F1517" s="347">
        <v>1103635000</v>
      </c>
      <c r="G1517" s="405">
        <f t="shared" si="82"/>
        <v>98.626899016979436</v>
      </c>
      <c r="H1517" s="408">
        <f>H1518</f>
        <v>100</v>
      </c>
      <c r="I1517" s="121"/>
    </row>
    <row r="1518" spans="3:9" s="115" customFormat="1" ht="16.5" hidden="1" customHeight="1" x14ac:dyDescent="0.25">
      <c r="C1518" s="390"/>
      <c r="D1518" s="118" t="s">
        <v>1306</v>
      </c>
      <c r="E1518" s="116">
        <v>1119000000</v>
      </c>
      <c r="F1518" s="221">
        <v>1103635000</v>
      </c>
      <c r="G1518" s="406">
        <f t="shared" si="82"/>
        <v>98.626899016979436</v>
      </c>
      <c r="H1518" s="407">
        <v>100</v>
      </c>
      <c r="I1518" s="121"/>
    </row>
    <row r="1519" spans="3:9" s="115" customFormat="1" ht="16.5" hidden="1" customHeight="1" x14ac:dyDescent="0.25">
      <c r="C1519" s="390"/>
      <c r="D1519" s="249" t="s">
        <v>418</v>
      </c>
      <c r="E1519" s="195">
        <v>360000000</v>
      </c>
      <c r="F1519" s="220">
        <v>352600000</v>
      </c>
      <c r="G1519" s="405">
        <f t="shared" si="82"/>
        <v>97.944444444444443</v>
      </c>
      <c r="H1519" s="408">
        <f>H1520</f>
        <v>100</v>
      </c>
      <c r="I1519" s="121"/>
    </row>
    <row r="1520" spans="3:9" s="115" customFormat="1" ht="16.5" hidden="1" customHeight="1" x14ac:dyDescent="0.25">
      <c r="C1520" s="222"/>
      <c r="D1520" s="118" t="s">
        <v>419</v>
      </c>
      <c r="E1520" s="116">
        <v>360000000</v>
      </c>
      <c r="F1520" s="221">
        <v>352600000</v>
      </c>
      <c r="G1520" s="406">
        <f t="shared" si="82"/>
        <v>97.944444444444443</v>
      </c>
      <c r="H1520" s="407">
        <v>100</v>
      </c>
      <c r="I1520" s="121"/>
    </row>
    <row r="1521" spans="3:9" s="115" customFormat="1" ht="16.5" hidden="1" customHeight="1" x14ac:dyDescent="0.25">
      <c r="C1521" s="222"/>
      <c r="D1521" s="249" t="s">
        <v>768</v>
      </c>
      <c r="E1521" s="195">
        <v>320000000</v>
      </c>
      <c r="F1521" s="347">
        <v>287650000</v>
      </c>
      <c r="G1521" s="405">
        <f t="shared" si="82"/>
        <v>89.890625</v>
      </c>
      <c r="H1521" s="408">
        <f>H1522</f>
        <v>100</v>
      </c>
      <c r="I1521" s="121"/>
    </row>
    <row r="1522" spans="3:9" s="115" customFormat="1" ht="16.5" hidden="1" customHeight="1" x14ac:dyDescent="0.25">
      <c r="C1522" s="222"/>
      <c r="D1522" s="118" t="s">
        <v>1307</v>
      </c>
      <c r="E1522" s="116">
        <v>320000000</v>
      </c>
      <c r="F1522" s="409">
        <v>287650000</v>
      </c>
      <c r="G1522" s="406">
        <f t="shared" si="82"/>
        <v>89.890625</v>
      </c>
      <c r="H1522" s="407">
        <v>100</v>
      </c>
      <c r="I1522" s="121"/>
    </row>
    <row r="1523" spans="3:9" s="115" customFormat="1" ht="16.5" hidden="1" customHeight="1" x14ac:dyDescent="0.25">
      <c r="C1523" s="222"/>
      <c r="D1523" s="249" t="s">
        <v>1308</v>
      </c>
      <c r="E1523" s="195">
        <v>201000000</v>
      </c>
      <c r="F1523" s="347">
        <v>198000000</v>
      </c>
      <c r="G1523" s="405">
        <f t="shared" si="82"/>
        <v>98.507462686567166</v>
      </c>
      <c r="H1523" s="408">
        <f>H1524</f>
        <v>100</v>
      </c>
      <c r="I1523" s="121"/>
    </row>
    <row r="1524" spans="3:9" s="115" customFormat="1" ht="31.5" hidden="1" customHeight="1" x14ac:dyDescent="0.25">
      <c r="C1524" s="222"/>
      <c r="D1524" s="118" t="s">
        <v>1309</v>
      </c>
      <c r="E1524" s="116">
        <v>201000000</v>
      </c>
      <c r="F1524" s="221">
        <v>198000000</v>
      </c>
      <c r="G1524" s="406">
        <f t="shared" si="82"/>
        <v>98.507462686567166</v>
      </c>
      <c r="H1524" s="408">
        <v>100</v>
      </c>
      <c r="I1524" s="121"/>
    </row>
    <row r="1525" spans="3:9" s="115" customFormat="1" ht="16.5" hidden="1" customHeight="1" x14ac:dyDescent="0.25">
      <c r="C1525" s="222"/>
      <c r="D1525" s="249"/>
      <c r="E1525" s="195"/>
      <c r="F1525" s="113"/>
      <c r="G1525" s="114"/>
      <c r="H1525" s="114"/>
      <c r="I1525" s="121"/>
    </row>
    <row r="1526" spans="3:9" ht="16.5" hidden="1" customHeight="1" x14ac:dyDescent="0.25">
      <c r="C1526" s="226"/>
      <c r="D1526" s="249" t="s">
        <v>1310</v>
      </c>
      <c r="E1526" s="195">
        <f>E1527+E1534</f>
        <v>8597143760</v>
      </c>
      <c r="F1526" s="113">
        <f>F1527+F1534</f>
        <v>8365734375</v>
      </c>
      <c r="G1526" s="405">
        <f t="shared" ref="G1526:G1532" si="83">F1526/E1526*100</f>
        <v>97.308299227509949</v>
      </c>
      <c r="H1526" s="408">
        <f>H1527</f>
        <v>100</v>
      </c>
      <c r="I1526" s="111"/>
    </row>
    <row r="1527" spans="3:9" ht="16.5" hidden="1" customHeight="1" x14ac:dyDescent="0.25">
      <c r="C1527" s="389"/>
      <c r="D1527" s="249" t="s">
        <v>770</v>
      </c>
      <c r="E1527" s="195">
        <v>3597143760</v>
      </c>
      <c r="F1527" s="220">
        <v>3559941375</v>
      </c>
      <c r="G1527" s="405">
        <f t="shared" si="83"/>
        <v>98.965779866412674</v>
      </c>
      <c r="H1527" s="408">
        <f>(H1528+H1530)/2</f>
        <v>100</v>
      </c>
      <c r="I1527" s="111"/>
    </row>
    <row r="1528" spans="3:9" ht="16.5" hidden="1" customHeight="1" x14ac:dyDescent="0.25">
      <c r="C1528" s="226"/>
      <c r="D1528" s="249" t="s">
        <v>319</v>
      </c>
      <c r="E1528" s="195">
        <v>1597143760</v>
      </c>
      <c r="F1528" s="347">
        <v>1583090000</v>
      </c>
      <c r="G1528" s="405">
        <f t="shared" si="83"/>
        <v>99.120069191517231</v>
      </c>
      <c r="H1528" s="408">
        <f>H1529</f>
        <v>100</v>
      </c>
      <c r="I1528" s="111"/>
    </row>
    <row r="1529" spans="3:9" ht="16.5" hidden="1" customHeight="1" x14ac:dyDescent="0.25">
      <c r="C1529" s="226"/>
      <c r="D1529" s="118" t="s">
        <v>1311</v>
      </c>
      <c r="E1529" s="116">
        <v>1597143760</v>
      </c>
      <c r="F1529" s="221">
        <v>1583090000</v>
      </c>
      <c r="G1529" s="406">
        <f t="shared" si="83"/>
        <v>99.120069191517231</v>
      </c>
      <c r="H1529" s="407">
        <v>100</v>
      </c>
      <c r="I1529" s="111"/>
    </row>
    <row r="1530" spans="3:9" ht="16.5" hidden="1" customHeight="1" x14ac:dyDescent="0.25">
      <c r="C1530" s="226"/>
      <c r="D1530" s="249" t="s">
        <v>496</v>
      </c>
      <c r="E1530" s="195">
        <v>2000000000</v>
      </c>
      <c r="F1530" s="220">
        <v>1976851375</v>
      </c>
      <c r="G1530" s="405">
        <f t="shared" si="83"/>
        <v>98.842568749999998</v>
      </c>
      <c r="H1530" s="408">
        <f>(H1531+H1532)/2</f>
        <v>100</v>
      </c>
      <c r="I1530" s="111"/>
    </row>
    <row r="1531" spans="3:9" ht="16.5" hidden="1" customHeight="1" x14ac:dyDescent="0.25">
      <c r="C1531" s="226"/>
      <c r="D1531" s="118" t="s">
        <v>1312</v>
      </c>
      <c r="E1531" s="116">
        <v>1000000000</v>
      </c>
      <c r="F1531" s="221">
        <v>979000000</v>
      </c>
      <c r="G1531" s="406">
        <f t="shared" si="83"/>
        <v>97.899999999999991</v>
      </c>
      <c r="H1531" s="407">
        <v>100</v>
      </c>
      <c r="I1531" s="111"/>
    </row>
    <row r="1532" spans="3:9" ht="16.5" hidden="1" customHeight="1" x14ac:dyDescent="0.25">
      <c r="C1532" s="226"/>
      <c r="D1532" s="118" t="s">
        <v>1313</v>
      </c>
      <c r="E1532" s="116">
        <v>1000000000</v>
      </c>
      <c r="F1532" s="409">
        <v>997851375</v>
      </c>
      <c r="G1532" s="406">
        <f t="shared" si="83"/>
        <v>99.785137500000005</v>
      </c>
      <c r="H1532" s="407">
        <v>100</v>
      </c>
      <c r="I1532" s="111"/>
    </row>
    <row r="1533" spans="3:9" ht="16.5" hidden="1" customHeight="1" x14ac:dyDescent="0.25">
      <c r="C1533" s="226"/>
      <c r="D1533" s="118"/>
      <c r="E1533" s="116"/>
      <c r="F1533" s="108"/>
      <c r="G1533" s="117"/>
      <c r="H1533" s="117"/>
      <c r="I1533" s="111"/>
    </row>
    <row r="1534" spans="3:9" ht="16.5" hidden="1" customHeight="1" x14ac:dyDescent="0.25">
      <c r="C1534" s="226"/>
      <c r="D1534" s="249" t="s">
        <v>1314</v>
      </c>
      <c r="E1534" s="195">
        <f>E1535+E1537</f>
        <v>5000000000</v>
      </c>
      <c r="F1534" s="347">
        <v>4805793000</v>
      </c>
      <c r="G1534" s="405">
        <f t="shared" ref="G1534:G1539" si="84">F1534/E1534*100</f>
        <v>96.115859999999998</v>
      </c>
      <c r="H1534" s="408">
        <f>(H1535+H1537)/2</f>
        <v>100</v>
      </c>
      <c r="I1534" s="111"/>
    </row>
    <row r="1535" spans="3:9" ht="16.5" hidden="1" customHeight="1" x14ac:dyDescent="0.25">
      <c r="C1535" s="389"/>
      <c r="D1535" s="249" t="s">
        <v>1315</v>
      </c>
      <c r="E1535" s="116">
        <v>1555000000</v>
      </c>
      <c r="F1535" s="220">
        <v>1552500000</v>
      </c>
      <c r="G1535" s="405">
        <f t="shared" si="84"/>
        <v>99.839228295819936</v>
      </c>
      <c r="H1535" s="408">
        <f>H1536</f>
        <v>100</v>
      </c>
      <c r="I1535" s="111"/>
    </row>
    <row r="1536" spans="3:9" ht="16.5" hidden="1" customHeight="1" x14ac:dyDescent="0.25">
      <c r="C1536" s="389"/>
      <c r="D1536" s="118" t="s">
        <v>1067</v>
      </c>
      <c r="E1536" s="116">
        <v>1555000000</v>
      </c>
      <c r="F1536" s="221">
        <v>1552500000</v>
      </c>
      <c r="G1536" s="406">
        <f t="shared" si="84"/>
        <v>99.839228295819936</v>
      </c>
      <c r="H1536" s="407">
        <v>100</v>
      </c>
      <c r="I1536" s="111"/>
    </row>
    <row r="1537" spans="3:9" ht="16.5" hidden="1" customHeight="1" x14ac:dyDescent="0.25">
      <c r="C1537" s="389"/>
      <c r="D1537" s="249" t="s">
        <v>758</v>
      </c>
      <c r="E1537" s="116">
        <v>3445000000</v>
      </c>
      <c r="F1537" s="347">
        <v>3253293000</v>
      </c>
      <c r="G1537" s="405">
        <f t="shared" si="84"/>
        <v>94.435210449927425</v>
      </c>
      <c r="H1537" s="408">
        <f>(H1538+H1539)/2</f>
        <v>100</v>
      </c>
      <c r="I1537" s="111"/>
    </row>
    <row r="1538" spans="3:9" ht="16.5" hidden="1" customHeight="1" x14ac:dyDescent="0.25">
      <c r="C1538" s="389"/>
      <c r="D1538" s="118" t="s">
        <v>1316</v>
      </c>
      <c r="E1538" s="116">
        <v>1678844000</v>
      </c>
      <c r="F1538" s="409">
        <v>1570844000</v>
      </c>
      <c r="G1538" s="406">
        <f t="shared" si="84"/>
        <v>93.567002056176747</v>
      </c>
      <c r="H1538" s="407">
        <v>100</v>
      </c>
      <c r="I1538" s="111"/>
    </row>
    <row r="1539" spans="3:9" ht="16.5" hidden="1" customHeight="1" x14ac:dyDescent="0.25">
      <c r="C1539" s="226"/>
      <c r="D1539" s="118" t="s">
        <v>1317</v>
      </c>
      <c r="E1539" s="116">
        <v>1766156000</v>
      </c>
      <c r="F1539" s="409">
        <v>1682449000</v>
      </c>
      <c r="G1539" s="406">
        <f t="shared" si="84"/>
        <v>95.260497940159311</v>
      </c>
      <c r="H1539" s="407">
        <v>100</v>
      </c>
      <c r="I1539" s="111"/>
    </row>
    <row r="1540" spans="3:9" ht="16.5" hidden="1" customHeight="1" x14ac:dyDescent="0.25">
      <c r="C1540" s="226"/>
      <c r="D1540" s="118"/>
      <c r="E1540" s="116"/>
      <c r="F1540" s="108"/>
      <c r="G1540" s="117"/>
      <c r="H1540" s="117"/>
      <c r="I1540" s="111"/>
    </row>
    <row r="1541" spans="3:9" ht="16.5" hidden="1" customHeight="1" x14ac:dyDescent="0.25">
      <c r="C1541" s="226"/>
      <c r="D1541" s="249" t="s">
        <v>1318</v>
      </c>
      <c r="E1541" s="116">
        <v>1000000000</v>
      </c>
      <c r="F1541" s="220">
        <v>992400000</v>
      </c>
      <c r="G1541" s="405">
        <v>99.24</v>
      </c>
      <c r="H1541" s="408">
        <f>+G1541</f>
        <v>99.24</v>
      </c>
      <c r="I1541" s="111"/>
    </row>
    <row r="1542" spans="3:9" ht="16.5" hidden="1" customHeight="1" x14ac:dyDescent="0.25">
      <c r="C1542" s="226"/>
      <c r="D1542" s="249" t="s">
        <v>1319</v>
      </c>
      <c r="E1542" s="116">
        <v>1000000000</v>
      </c>
      <c r="F1542" s="220">
        <v>992400000</v>
      </c>
      <c r="G1542" s="405">
        <v>99.24</v>
      </c>
      <c r="H1542" s="408">
        <f t="shared" ref="H1542:H1571" si="85">+G1542</f>
        <v>99.24</v>
      </c>
      <c r="I1542" s="111"/>
    </row>
    <row r="1543" spans="3:9" ht="16.5" hidden="1" customHeight="1" x14ac:dyDescent="0.25">
      <c r="C1543" s="226"/>
      <c r="D1543" s="249" t="s">
        <v>1320</v>
      </c>
      <c r="E1543" s="116">
        <v>400000000</v>
      </c>
      <c r="F1543" s="347">
        <v>399000000</v>
      </c>
      <c r="G1543" s="405">
        <v>99.75</v>
      </c>
      <c r="H1543" s="408">
        <f t="shared" si="85"/>
        <v>99.75</v>
      </c>
      <c r="I1543" s="111"/>
    </row>
    <row r="1544" spans="3:9" ht="16.5" hidden="1" customHeight="1" x14ac:dyDescent="0.25">
      <c r="C1544" s="226"/>
      <c r="D1544" s="118" t="s">
        <v>1321</v>
      </c>
      <c r="E1544" s="116">
        <v>400000000</v>
      </c>
      <c r="F1544" s="221">
        <v>399000000</v>
      </c>
      <c r="G1544" s="406">
        <v>99.75</v>
      </c>
      <c r="H1544" s="407">
        <f t="shared" si="85"/>
        <v>99.75</v>
      </c>
      <c r="I1544" s="111"/>
    </row>
    <row r="1545" spans="3:9" ht="16.5" hidden="1" customHeight="1" x14ac:dyDescent="0.25">
      <c r="C1545" s="226"/>
      <c r="D1545" s="249" t="s">
        <v>1322</v>
      </c>
      <c r="E1545" s="116">
        <v>600000000</v>
      </c>
      <c r="F1545" s="220">
        <v>593400000</v>
      </c>
      <c r="G1545" s="405">
        <v>98.9</v>
      </c>
      <c r="H1545" s="408">
        <f t="shared" si="85"/>
        <v>98.9</v>
      </c>
      <c r="I1545" s="111"/>
    </row>
    <row r="1546" spans="3:9" ht="16.5" hidden="1" customHeight="1" x14ac:dyDescent="0.25">
      <c r="C1546" s="226"/>
      <c r="D1546" s="118" t="s">
        <v>1323</v>
      </c>
      <c r="E1546" s="116">
        <v>600000000</v>
      </c>
      <c r="F1546" s="221">
        <v>593400000</v>
      </c>
      <c r="G1546" s="406">
        <v>98.9</v>
      </c>
      <c r="H1546" s="407">
        <f t="shared" si="85"/>
        <v>98.9</v>
      </c>
      <c r="I1546" s="111"/>
    </row>
    <row r="1547" spans="3:9" ht="16.5" hidden="1" customHeight="1" x14ac:dyDescent="0.25">
      <c r="C1547" s="226"/>
      <c r="D1547" s="118"/>
      <c r="E1547" s="116"/>
      <c r="F1547" s="221"/>
      <c r="G1547" s="406"/>
      <c r="H1547" s="407"/>
      <c r="I1547" s="111"/>
    </row>
    <row r="1548" spans="3:9" ht="16.5" hidden="1" customHeight="1" x14ac:dyDescent="0.25">
      <c r="C1548" s="226"/>
      <c r="D1548" s="249" t="s">
        <v>1324</v>
      </c>
      <c r="E1548" s="116">
        <v>2500000000</v>
      </c>
      <c r="F1548" s="220">
        <v>2486000000</v>
      </c>
      <c r="G1548" s="405">
        <v>99.44</v>
      </c>
      <c r="H1548" s="408">
        <f t="shared" si="85"/>
        <v>99.44</v>
      </c>
      <c r="I1548" s="111"/>
    </row>
    <row r="1549" spans="3:9" ht="16.5" hidden="1" customHeight="1" x14ac:dyDescent="0.25">
      <c r="C1549" s="226"/>
      <c r="D1549" s="249" t="s">
        <v>1325</v>
      </c>
      <c r="E1549" s="195">
        <v>2500000000</v>
      </c>
      <c r="F1549" s="220">
        <v>2486000000</v>
      </c>
      <c r="G1549" s="405">
        <v>99.44</v>
      </c>
      <c r="H1549" s="408">
        <f t="shared" si="85"/>
        <v>99.44</v>
      </c>
      <c r="I1549" s="111"/>
    </row>
    <row r="1550" spans="3:9" ht="16.5" hidden="1" customHeight="1" x14ac:dyDescent="0.25">
      <c r="C1550" s="226"/>
      <c r="D1550" s="249" t="s">
        <v>1326</v>
      </c>
      <c r="E1550" s="116">
        <v>1200000000</v>
      </c>
      <c r="F1550" s="347">
        <v>1190850000</v>
      </c>
      <c r="G1550" s="405">
        <v>99.237499999999997</v>
      </c>
      <c r="H1550" s="408">
        <f t="shared" si="85"/>
        <v>99.237499999999997</v>
      </c>
      <c r="I1550" s="111"/>
    </row>
    <row r="1551" spans="3:9" ht="16.5" hidden="1" customHeight="1" x14ac:dyDescent="0.25">
      <c r="C1551" s="226"/>
      <c r="D1551" s="118" t="s">
        <v>1327</v>
      </c>
      <c r="E1551" s="116">
        <v>750000000</v>
      </c>
      <c r="F1551" s="221">
        <v>741600000</v>
      </c>
      <c r="G1551" s="406">
        <v>98.88</v>
      </c>
      <c r="H1551" s="407">
        <f t="shared" si="85"/>
        <v>98.88</v>
      </c>
      <c r="I1551" s="111"/>
    </row>
    <row r="1552" spans="3:9" ht="31.5" hidden="1" customHeight="1" x14ac:dyDescent="0.25">
      <c r="C1552" s="226"/>
      <c r="D1552" s="118" t="s">
        <v>1328</v>
      </c>
      <c r="E1552" s="116">
        <v>450000000</v>
      </c>
      <c r="F1552" s="221">
        <v>449250000</v>
      </c>
      <c r="G1552" s="406">
        <v>99.833333333333329</v>
      </c>
      <c r="H1552" s="408">
        <f t="shared" si="85"/>
        <v>99.833333333333329</v>
      </c>
      <c r="I1552" s="111"/>
    </row>
    <row r="1553" spans="3:9" ht="16.5" hidden="1" customHeight="1" x14ac:dyDescent="0.25">
      <c r="C1553" s="226"/>
      <c r="D1553" s="249" t="s">
        <v>1329</v>
      </c>
      <c r="E1553" s="116">
        <v>1300000000</v>
      </c>
      <c r="F1553" s="347">
        <v>1295150000</v>
      </c>
      <c r="G1553" s="405">
        <v>99.626923076923077</v>
      </c>
      <c r="H1553" s="408">
        <f t="shared" si="85"/>
        <v>99.626923076923077</v>
      </c>
      <c r="I1553" s="111"/>
    </row>
    <row r="1554" spans="3:9" ht="16.5" hidden="1" customHeight="1" x14ac:dyDescent="0.25">
      <c r="C1554" s="389"/>
      <c r="D1554" s="118" t="s">
        <v>1330</v>
      </c>
      <c r="E1554" s="116">
        <v>750000000</v>
      </c>
      <c r="F1554" s="409">
        <v>747700000</v>
      </c>
      <c r="G1554" s="406">
        <v>99.693333333333328</v>
      </c>
      <c r="H1554" s="407">
        <f t="shared" si="85"/>
        <v>99.693333333333328</v>
      </c>
      <c r="I1554" s="111"/>
    </row>
    <row r="1555" spans="3:9" ht="16.5" hidden="1" customHeight="1" x14ac:dyDescent="0.25">
      <c r="C1555" s="389"/>
      <c r="D1555" s="118" t="s">
        <v>1331</v>
      </c>
      <c r="E1555" s="116">
        <v>550000000</v>
      </c>
      <c r="F1555" s="409">
        <v>547450000</v>
      </c>
      <c r="G1555" s="406">
        <v>99.536363636363632</v>
      </c>
      <c r="H1555" s="407">
        <f t="shared" si="85"/>
        <v>99.536363636363632</v>
      </c>
      <c r="I1555" s="111"/>
    </row>
    <row r="1556" spans="3:9" ht="16.5" hidden="1" customHeight="1" x14ac:dyDescent="0.25">
      <c r="C1556" s="389"/>
      <c r="D1556" s="118"/>
      <c r="E1556" s="116"/>
      <c r="F1556" s="108"/>
      <c r="G1556" s="117"/>
      <c r="H1556" s="408"/>
      <c r="I1556" s="111"/>
    </row>
    <row r="1557" spans="3:9" ht="16.5" hidden="1" customHeight="1" x14ac:dyDescent="0.25">
      <c r="C1557" s="389"/>
      <c r="D1557" s="249" t="s">
        <v>1332</v>
      </c>
      <c r="E1557" s="116">
        <v>500000000</v>
      </c>
      <c r="F1557" s="220">
        <v>491000000</v>
      </c>
      <c r="G1557" s="405">
        <v>98.2</v>
      </c>
      <c r="H1557" s="408">
        <f t="shared" si="85"/>
        <v>98.2</v>
      </c>
      <c r="I1557" s="111"/>
    </row>
    <row r="1558" spans="3:9" ht="16.5" hidden="1" customHeight="1" x14ac:dyDescent="0.25">
      <c r="C1558" s="389"/>
      <c r="D1558" s="249" t="s">
        <v>624</v>
      </c>
      <c r="E1558" s="195">
        <v>500000000</v>
      </c>
      <c r="F1558" s="220">
        <v>491000000</v>
      </c>
      <c r="G1558" s="405">
        <v>98.2</v>
      </c>
      <c r="H1558" s="408">
        <f t="shared" si="85"/>
        <v>98.2</v>
      </c>
      <c r="I1558" s="111"/>
    </row>
    <row r="1559" spans="3:9" ht="31.5" hidden="1" customHeight="1" x14ac:dyDescent="0.25">
      <c r="C1559" s="226"/>
      <c r="D1559" s="249" t="s">
        <v>1333</v>
      </c>
      <c r="E1559" s="116">
        <v>500000000</v>
      </c>
      <c r="F1559" s="347">
        <v>491000000</v>
      </c>
      <c r="G1559" s="405">
        <v>98.2</v>
      </c>
      <c r="H1559" s="408">
        <f t="shared" si="85"/>
        <v>98.2</v>
      </c>
      <c r="I1559" s="111"/>
    </row>
    <row r="1560" spans="3:9" ht="31.5" hidden="1" customHeight="1" x14ac:dyDescent="0.25">
      <c r="C1560" s="226"/>
      <c r="D1560" s="118" t="s">
        <v>1334</v>
      </c>
      <c r="E1560" s="116">
        <v>500000000</v>
      </c>
      <c r="F1560" s="409">
        <v>491000000</v>
      </c>
      <c r="G1560" s="406">
        <v>98.2</v>
      </c>
      <c r="H1560" s="407">
        <f t="shared" si="85"/>
        <v>98.2</v>
      </c>
      <c r="I1560" s="111"/>
    </row>
    <row r="1561" spans="3:9" ht="16.5" hidden="1" customHeight="1" x14ac:dyDescent="0.25">
      <c r="C1561" s="226"/>
      <c r="D1561" s="118"/>
      <c r="E1561" s="116"/>
      <c r="F1561" s="108"/>
      <c r="G1561" s="117"/>
      <c r="H1561" s="408">
        <f t="shared" si="85"/>
        <v>0</v>
      </c>
      <c r="I1561" s="111"/>
    </row>
    <row r="1562" spans="3:9" ht="16.5" hidden="1" customHeight="1" x14ac:dyDescent="0.25">
      <c r="C1562" s="226"/>
      <c r="D1562" s="249" t="s">
        <v>1335</v>
      </c>
      <c r="E1562" s="116">
        <v>1519785940</v>
      </c>
      <c r="F1562" s="347">
        <v>1507767432</v>
      </c>
      <c r="G1562" s="405">
        <v>99.209197316301001</v>
      </c>
      <c r="H1562" s="408">
        <f t="shared" si="85"/>
        <v>99.209197316301001</v>
      </c>
      <c r="I1562" s="111"/>
    </row>
    <row r="1563" spans="3:9" ht="16.5" hidden="1" customHeight="1" x14ac:dyDescent="0.25">
      <c r="C1563" s="226"/>
      <c r="D1563" s="249" t="s">
        <v>1336</v>
      </c>
      <c r="E1563" s="195">
        <v>1519785940</v>
      </c>
      <c r="F1563" s="220">
        <v>1507767432</v>
      </c>
      <c r="G1563" s="405">
        <v>99.209197316301001</v>
      </c>
      <c r="H1563" s="408">
        <f t="shared" si="85"/>
        <v>99.209197316301001</v>
      </c>
      <c r="I1563" s="111"/>
    </row>
    <row r="1564" spans="3:9" ht="16.5" hidden="1" customHeight="1" x14ac:dyDescent="0.25">
      <c r="C1564" s="226"/>
      <c r="D1564" s="249" t="s">
        <v>1337</v>
      </c>
      <c r="E1564" s="116">
        <v>100000000</v>
      </c>
      <c r="F1564" s="220">
        <v>100000000</v>
      </c>
      <c r="G1564" s="405">
        <v>100</v>
      </c>
      <c r="H1564" s="408">
        <f t="shared" si="85"/>
        <v>100</v>
      </c>
      <c r="I1564" s="111"/>
    </row>
    <row r="1565" spans="3:9" ht="16.5" hidden="1" customHeight="1" x14ac:dyDescent="0.25">
      <c r="C1565" s="226"/>
      <c r="D1565" s="118" t="s">
        <v>1338</v>
      </c>
      <c r="E1565" s="116">
        <v>100000000</v>
      </c>
      <c r="F1565" s="221">
        <v>100000000</v>
      </c>
      <c r="G1565" s="406">
        <v>100</v>
      </c>
      <c r="H1565" s="407">
        <f t="shared" si="85"/>
        <v>100</v>
      </c>
      <c r="I1565" s="111"/>
    </row>
    <row r="1566" spans="3:9" ht="16.5" hidden="1" customHeight="1" x14ac:dyDescent="0.25">
      <c r="C1566" s="226"/>
      <c r="D1566" s="249" t="s">
        <v>632</v>
      </c>
      <c r="E1566" s="116">
        <v>1419785940</v>
      </c>
      <c r="F1566" s="220">
        <v>1407767432</v>
      </c>
      <c r="G1566" s="405">
        <v>99.153498590076197</v>
      </c>
      <c r="H1566" s="408">
        <f t="shared" si="85"/>
        <v>99.153498590076197</v>
      </c>
      <c r="I1566" s="111"/>
    </row>
    <row r="1567" spans="3:9" ht="16.5" hidden="1" customHeight="1" x14ac:dyDescent="0.25">
      <c r="C1567" s="226"/>
      <c r="D1567" s="118" t="s">
        <v>955</v>
      </c>
      <c r="E1567" s="116">
        <v>719785940</v>
      </c>
      <c r="F1567" s="409">
        <v>719772500</v>
      </c>
      <c r="G1567" s="406">
        <v>99.998132778197927</v>
      </c>
      <c r="H1567" s="407">
        <f t="shared" si="85"/>
        <v>99.998132778197927</v>
      </c>
      <c r="I1567" s="111"/>
    </row>
    <row r="1568" spans="3:9" ht="16.5" hidden="1" customHeight="1" x14ac:dyDescent="0.25">
      <c r="C1568" s="226"/>
      <c r="D1568" s="118" t="s">
        <v>1339</v>
      </c>
      <c r="E1568" s="116">
        <v>400000000</v>
      </c>
      <c r="F1568" s="221">
        <v>399994932</v>
      </c>
      <c r="G1568" s="406">
        <v>99.998733000000001</v>
      </c>
      <c r="H1568" s="407">
        <f t="shared" si="85"/>
        <v>99.998733000000001</v>
      </c>
      <c r="I1568" s="111"/>
    </row>
    <row r="1569" spans="3:9" ht="31.5" hidden="1" customHeight="1" x14ac:dyDescent="0.25">
      <c r="C1569" s="226"/>
      <c r="D1569" s="118" t="s">
        <v>1340</v>
      </c>
      <c r="E1569" s="116">
        <v>100000000</v>
      </c>
      <c r="F1569" s="221">
        <v>89500000</v>
      </c>
      <c r="G1569" s="406">
        <v>89.5</v>
      </c>
      <c r="H1569" s="407">
        <f t="shared" si="85"/>
        <v>89.5</v>
      </c>
      <c r="I1569" s="111"/>
    </row>
    <row r="1570" spans="3:9" ht="16.5" hidden="1" customHeight="1" x14ac:dyDescent="0.25">
      <c r="C1570" s="226"/>
      <c r="D1570" s="118" t="s">
        <v>1341</v>
      </c>
      <c r="E1570" s="116">
        <v>100000000</v>
      </c>
      <c r="F1570" s="409">
        <v>98500000</v>
      </c>
      <c r="G1570" s="406">
        <v>98.5</v>
      </c>
      <c r="H1570" s="407">
        <f t="shared" si="85"/>
        <v>98.5</v>
      </c>
      <c r="I1570" s="111"/>
    </row>
    <row r="1571" spans="3:9" ht="16.5" hidden="1" customHeight="1" x14ac:dyDescent="0.25">
      <c r="C1571" s="226"/>
      <c r="D1571" s="118" t="s">
        <v>1342</v>
      </c>
      <c r="E1571" s="116">
        <v>100000000</v>
      </c>
      <c r="F1571" s="409">
        <v>100000000</v>
      </c>
      <c r="G1571" s="406">
        <v>100</v>
      </c>
      <c r="H1571" s="407">
        <f t="shared" si="85"/>
        <v>100</v>
      </c>
      <c r="I1571" s="111"/>
    </row>
    <row r="1572" spans="3:9" ht="16.5" hidden="1" customHeight="1" x14ac:dyDescent="0.25">
      <c r="C1572" s="226"/>
      <c r="D1572" s="118"/>
      <c r="E1572" s="116"/>
      <c r="F1572" s="108"/>
      <c r="G1572" s="117"/>
      <c r="H1572" s="117"/>
      <c r="I1572" s="111"/>
    </row>
    <row r="1573" spans="3:9" ht="16.5" hidden="1" customHeight="1" x14ac:dyDescent="0.25">
      <c r="C1573" s="226"/>
      <c r="D1573" s="249" t="s">
        <v>1343</v>
      </c>
      <c r="E1573" s="116">
        <v>12240000000</v>
      </c>
      <c r="F1573" s="108">
        <v>5150000000</v>
      </c>
      <c r="G1573" s="117">
        <f t="shared" ref="G1573:G1579" si="86">+F1573/E1573*100</f>
        <v>42.075163398692808</v>
      </c>
      <c r="H1573" s="117">
        <v>50</v>
      </c>
      <c r="I1573" s="111"/>
    </row>
    <row r="1574" spans="3:9" ht="16.5" hidden="1" customHeight="1" x14ac:dyDescent="0.25">
      <c r="C1574" s="226"/>
      <c r="D1574" s="249" t="s">
        <v>1344</v>
      </c>
      <c r="E1574" s="195">
        <v>12240000000</v>
      </c>
      <c r="F1574" s="113">
        <v>5150000000</v>
      </c>
      <c r="G1574" s="114">
        <f t="shared" si="86"/>
        <v>42.075163398692808</v>
      </c>
      <c r="H1574" s="114">
        <f>H1575</f>
        <v>55</v>
      </c>
      <c r="I1574" s="111"/>
    </row>
    <row r="1575" spans="3:9" ht="16.5" hidden="1" customHeight="1" x14ac:dyDescent="0.25">
      <c r="C1575" s="226"/>
      <c r="D1575" s="249" t="s">
        <v>1345</v>
      </c>
      <c r="E1575" s="116">
        <v>12240000000</v>
      </c>
      <c r="F1575" s="108">
        <v>5150000000</v>
      </c>
      <c r="G1575" s="117">
        <f t="shared" si="86"/>
        <v>42.075163398692808</v>
      </c>
      <c r="H1575" s="117">
        <f>SUM(H1576:H1579)/4</f>
        <v>55</v>
      </c>
      <c r="I1575" s="111"/>
    </row>
    <row r="1576" spans="3:9" ht="16.5" hidden="1" customHeight="1" x14ac:dyDescent="0.25">
      <c r="C1576" s="226"/>
      <c r="D1576" s="118" t="s">
        <v>1346</v>
      </c>
      <c r="E1576" s="116">
        <v>4000000000</v>
      </c>
      <c r="F1576" s="108">
        <v>800000000</v>
      </c>
      <c r="G1576" s="117">
        <f t="shared" si="86"/>
        <v>20</v>
      </c>
      <c r="H1576" s="117">
        <v>40</v>
      </c>
      <c r="I1576" s="111"/>
    </row>
    <row r="1577" spans="3:9" ht="16.5" hidden="1" customHeight="1" x14ac:dyDescent="0.25">
      <c r="C1577" s="226"/>
      <c r="D1577" s="118" t="s">
        <v>1347</v>
      </c>
      <c r="E1577" s="116">
        <v>2240000000</v>
      </c>
      <c r="F1577" s="108">
        <v>350000000</v>
      </c>
      <c r="G1577" s="117">
        <f t="shared" si="86"/>
        <v>15.625</v>
      </c>
      <c r="H1577" s="117">
        <v>35</v>
      </c>
      <c r="I1577" s="111"/>
    </row>
    <row r="1578" spans="3:9" ht="16.5" hidden="1" customHeight="1" x14ac:dyDescent="0.25">
      <c r="C1578" s="226"/>
      <c r="D1578" s="118" t="s">
        <v>1348</v>
      </c>
      <c r="E1578" s="116">
        <v>3000000000</v>
      </c>
      <c r="F1578" s="108">
        <v>2000000000</v>
      </c>
      <c r="G1578" s="117">
        <f t="shared" si="86"/>
        <v>66.666666666666657</v>
      </c>
      <c r="H1578" s="117">
        <v>70</v>
      </c>
      <c r="I1578" s="111"/>
    </row>
    <row r="1579" spans="3:9" ht="16.5" hidden="1" customHeight="1" x14ac:dyDescent="0.25">
      <c r="C1579" s="226"/>
      <c r="D1579" s="118" t="s">
        <v>1349</v>
      </c>
      <c r="E1579" s="116">
        <v>3000000000</v>
      </c>
      <c r="F1579" s="108">
        <v>2000000000</v>
      </c>
      <c r="G1579" s="117">
        <f t="shared" si="86"/>
        <v>66.666666666666657</v>
      </c>
      <c r="H1579" s="117">
        <v>75</v>
      </c>
      <c r="I1579" s="111"/>
    </row>
    <row r="1580" spans="3:9" ht="12" hidden="1" customHeight="1" x14ac:dyDescent="0.25">
      <c r="C1580" s="226"/>
      <c r="D1580" s="118"/>
      <c r="E1580" s="116"/>
      <c r="F1580" s="108"/>
      <c r="G1580" s="117"/>
      <c r="H1580" s="117"/>
      <c r="I1580" s="111"/>
    </row>
    <row r="1581" spans="3:9" ht="16.5" customHeight="1" x14ac:dyDescent="0.25">
      <c r="C1581" s="226" t="s">
        <v>1350</v>
      </c>
      <c r="D1581" s="121" t="s">
        <v>1351</v>
      </c>
      <c r="E1581" s="195">
        <f>+E1582+E1608+E1617+E1654+E1664+E1667+E1671+E1676+E1681+E1694+E1715+E1724+E1734+E1738+E1742+E1746+E1752+E1758+E1766+E1778+E1783+E1787+E1794+E1799</f>
        <v>94656505000</v>
      </c>
      <c r="F1581" s="113">
        <f>+F1582+F1608+F1617+F1654+F1664+F1667+F1671+F1676+F1681+F1694+F1715+F1724+F1734+F1738+F1742+F1746+F1752+F1758+F1766+F1778+F1783+F1787+F1794+F1799</f>
        <v>87416376873</v>
      </c>
      <c r="G1581" s="114">
        <f>F1581/E1581%</f>
        <v>92.351156291899855</v>
      </c>
      <c r="H1581" s="114">
        <f>(H1582+H1608+H1617+H1654+H1664+H1667+H1671+H1676+H1682+H1695+H1715+H1724+H1737+H1741+H1746+H1752+H1758+H1766+H1778+H1783+H1787+H1791+H1797)/25</f>
        <v>80.72</v>
      </c>
      <c r="I1581" s="111"/>
    </row>
    <row r="1582" spans="3:9" ht="16.5" hidden="1" customHeight="1" x14ac:dyDescent="0.25">
      <c r="C1582" s="226"/>
      <c r="D1582" s="249" t="s">
        <v>1352</v>
      </c>
      <c r="E1582" s="410">
        <f>E1583+E1590+E1596+E1603+E1605</f>
        <v>20302790000</v>
      </c>
      <c r="F1582" s="242">
        <f>F1583+F1590+F1596+F1603+F1605</f>
        <v>19954698118</v>
      </c>
      <c r="G1582" s="336">
        <f t="shared" ref="G1582:G1606" si="87">F1582/E1582*100</f>
        <v>98.285497303572569</v>
      </c>
      <c r="H1582" s="336">
        <v>98</v>
      </c>
      <c r="I1582" s="111"/>
    </row>
    <row r="1583" spans="3:9" s="115" customFormat="1" ht="16.5" hidden="1" customHeight="1" x14ac:dyDescent="0.25">
      <c r="C1583" s="222"/>
      <c r="D1583" s="316" t="s">
        <v>797</v>
      </c>
      <c r="E1583" s="411">
        <f>SUM(E1584:E1589)</f>
        <v>3558350000</v>
      </c>
      <c r="F1583" s="242">
        <f>SUM(F1584:F1589)</f>
        <v>3324417000</v>
      </c>
      <c r="G1583" s="336">
        <f t="shared" si="87"/>
        <v>93.42580128430312</v>
      </c>
      <c r="H1583" s="246">
        <v>100</v>
      </c>
      <c r="I1583" s="121"/>
    </row>
    <row r="1584" spans="3:9" ht="16.5" hidden="1" customHeight="1" x14ac:dyDescent="0.25">
      <c r="C1584" s="226"/>
      <c r="D1584" s="412" t="s">
        <v>1353</v>
      </c>
      <c r="E1584" s="413">
        <v>853150000</v>
      </c>
      <c r="F1584" s="243">
        <v>851225000</v>
      </c>
      <c r="G1584" s="334">
        <f t="shared" si="87"/>
        <v>99.774365586356438</v>
      </c>
      <c r="H1584" s="247">
        <v>100</v>
      </c>
      <c r="I1584" s="111"/>
    </row>
    <row r="1585" spans="3:9" ht="16.5" hidden="1" customHeight="1" x14ac:dyDescent="0.25">
      <c r="C1585" s="226"/>
      <c r="D1585" s="412" t="s">
        <v>1354</v>
      </c>
      <c r="E1585" s="413">
        <v>500000000</v>
      </c>
      <c r="F1585" s="243">
        <v>288748000</v>
      </c>
      <c r="G1585" s="334">
        <f t="shared" si="87"/>
        <v>57.749600000000001</v>
      </c>
      <c r="H1585" s="247">
        <v>60</v>
      </c>
      <c r="I1585" s="111"/>
    </row>
    <row r="1586" spans="3:9" ht="16.5" hidden="1" customHeight="1" x14ac:dyDescent="0.25">
      <c r="C1586" s="226"/>
      <c r="D1586" s="412" t="s">
        <v>1355</v>
      </c>
      <c r="E1586" s="413">
        <v>60000000</v>
      </c>
      <c r="F1586" s="243">
        <v>59800000</v>
      </c>
      <c r="G1586" s="334">
        <f t="shared" si="87"/>
        <v>99.666666666666671</v>
      </c>
      <c r="H1586" s="247">
        <v>100</v>
      </c>
      <c r="I1586" s="111"/>
    </row>
    <row r="1587" spans="3:9" ht="16.5" hidden="1" customHeight="1" x14ac:dyDescent="0.25">
      <c r="C1587" s="226"/>
      <c r="D1587" s="412" t="s">
        <v>1356</v>
      </c>
      <c r="E1587" s="413">
        <v>300000000</v>
      </c>
      <c r="F1587" s="243">
        <v>299000000</v>
      </c>
      <c r="G1587" s="336">
        <f t="shared" si="87"/>
        <v>99.666666666666671</v>
      </c>
      <c r="H1587" s="247">
        <v>100</v>
      </c>
      <c r="I1587" s="111"/>
    </row>
    <row r="1588" spans="3:9" ht="16.5" hidden="1" customHeight="1" x14ac:dyDescent="0.25">
      <c r="C1588" s="226"/>
      <c r="D1588" s="412" t="s">
        <v>1357</v>
      </c>
      <c r="E1588" s="413">
        <v>275000000</v>
      </c>
      <c r="F1588" s="243">
        <v>269844000</v>
      </c>
      <c r="G1588" s="334">
        <f t="shared" si="87"/>
        <v>98.1250909090909</v>
      </c>
      <c r="H1588" s="247">
        <v>100</v>
      </c>
      <c r="I1588" s="111"/>
    </row>
    <row r="1589" spans="3:9" ht="16.5" hidden="1" customHeight="1" x14ac:dyDescent="0.25">
      <c r="C1589" s="226"/>
      <c r="D1589" s="412" t="s">
        <v>1358</v>
      </c>
      <c r="E1589" s="413">
        <v>1570200000</v>
      </c>
      <c r="F1589" s="243">
        <v>1555800000</v>
      </c>
      <c r="G1589" s="334">
        <f t="shared" si="87"/>
        <v>99.082919373328238</v>
      </c>
      <c r="H1589" s="247">
        <v>100</v>
      </c>
      <c r="I1589" s="111"/>
    </row>
    <row r="1590" spans="3:9" s="115" customFormat="1" ht="16.5" hidden="1" customHeight="1" x14ac:dyDescent="0.25">
      <c r="C1590" s="222"/>
      <c r="D1590" s="316" t="s">
        <v>680</v>
      </c>
      <c r="E1590" s="411">
        <f>SUM(E1591:E1595)</f>
        <v>5628161375</v>
      </c>
      <c r="F1590" s="242">
        <f>SUM(F1591:F1595)</f>
        <v>5530073750</v>
      </c>
      <c r="G1590" s="336">
        <f t="shared" si="87"/>
        <v>98.257199492614049</v>
      </c>
      <c r="H1590" s="246">
        <v>100</v>
      </c>
      <c r="I1590" s="121"/>
    </row>
    <row r="1591" spans="3:9" ht="16.5" hidden="1" customHeight="1" x14ac:dyDescent="0.25">
      <c r="C1591" s="226"/>
      <c r="D1591" s="412" t="s">
        <v>1359</v>
      </c>
      <c r="E1591" s="413">
        <v>4578420000</v>
      </c>
      <c r="F1591" s="243">
        <v>4578420000</v>
      </c>
      <c r="G1591" s="334">
        <f t="shared" si="87"/>
        <v>100</v>
      </c>
      <c r="H1591" s="247">
        <v>100</v>
      </c>
      <c r="I1591" s="111"/>
    </row>
    <row r="1592" spans="3:9" ht="16.5" hidden="1" customHeight="1" x14ac:dyDescent="0.25">
      <c r="C1592" s="226"/>
      <c r="D1592" s="412" t="s">
        <v>1360</v>
      </c>
      <c r="E1592" s="413">
        <v>40000000</v>
      </c>
      <c r="F1592" s="243">
        <v>39770000</v>
      </c>
      <c r="G1592" s="334">
        <f t="shared" si="87"/>
        <v>99.424999999999997</v>
      </c>
      <c r="H1592" s="247">
        <v>100</v>
      </c>
      <c r="I1592" s="111"/>
    </row>
    <row r="1593" spans="3:9" ht="16.5" hidden="1" customHeight="1" x14ac:dyDescent="0.25">
      <c r="C1593" s="226"/>
      <c r="D1593" s="412" t="s">
        <v>1361</v>
      </c>
      <c r="E1593" s="413">
        <v>150000000</v>
      </c>
      <c r="F1593" s="243">
        <v>149710000</v>
      </c>
      <c r="G1593" s="334">
        <f t="shared" si="87"/>
        <v>99.806666666666672</v>
      </c>
      <c r="H1593" s="247">
        <v>100</v>
      </c>
      <c r="I1593" s="111"/>
    </row>
    <row r="1594" spans="3:9" ht="16.5" hidden="1" customHeight="1" x14ac:dyDescent="0.25">
      <c r="C1594" s="226"/>
      <c r="D1594" s="412" t="s">
        <v>1362</v>
      </c>
      <c r="E1594" s="413">
        <v>709741375</v>
      </c>
      <c r="F1594" s="243">
        <v>615053750</v>
      </c>
      <c r="G1594" s="334">
        <f t="shared" si="87"/>
        <v>86.658855135788016</v>
      </c>
      <c r="H1594" s="247">
        <v>100</v>
      </c>
      <c r="I1594" s="111"/>
    </row>
    <row r="1595" spans="3:9" ht="16.5" hidden="1" customHeight="1" x14ac:dyDescent="0.25">
      <c r="C1595" s="226"/>
      <c r="D1595" s="412" t="s">
        <v>1363</v>
      </c>
      <c r="E1595" s="413">
        <v>150000000</v>
      </c>
      <c r="F1595" s="243">
        <v>147120000</v>
      </c>
      <c r="G1595" s="334">
        <f t="shared" si="87"/>
        <v>98.08</v>
      </c>
      <c r="H1595" s="247">
        <v>100</v>
      </c>
      <c r="I1595" s="111"/>
    </row>
    <row r="1596" spans="3:9" s="115" customFormat="1" ht="16.5" hidden="1" customHeight="1" x14ac:dyDescent="0.25">
      <c r="C1596" s="222"/>
      <c r="D1596" s="316" t="s">
        <v>693</v>
      </c>
      <c r="E1596" s="411">
        <f>SUM(E1597:E1602)</f>
        <v>2124358625</v>
      </c>
      <c r="F1596" s="242">
        <f>SUM(F1597:F1602)</f>
        <v>2117642600</v>
      </c>
      <c r="G1596" s="336">
        <f t="shared" si="87"/>
        <v>99.683856345112162</v>
      </c>
      <c r="H1596" s="246">
        <v>100</v>
      </c>
      <c r="I1596" s="121"/>
    </row>
    <row r="1597" spans="3:9" s="115" customFormat="1" ht="16.5" hidden="1" customHeight="1" x14ac:dyDescent="0.25">
      <c r="C1597" s="222"/>
      <c r="D1597" s="412" t="s">
        <v>1364</v>
      </c>
      <c r="E1597" s="413">
        <v>1120562125</v>
      </c>
      <c r="F1597" s="243">
        <v>1120560000</v>
      </c>
      <c r="G1597" s="334">
        <f t="shared" si="87"/>
        <v>99.999810363035422</v>
      </c>
      <c r="H1597" s="247">
        <v>100</v>
      </c>
      <c r="I1597" s="121"/>
    </row>
    <row r="1598" spans="3:9" ht="16.5" hidden="1" customHeight="1" x14ac:dyDescent="0.25">
      <c r="C1598" s="226"/>
      <c r="D1598" s="412" t="s">
        <v>1365</v>
      </c>
      <c r="E1598" s="413">
        <v>149696500</v>
      </c>
      <c r="F1598" s="243">
        <v>144764500</v>
      </c>
      <c r="G1598" s="334">
        <f t="shared" si="87"/>
        <v>96.705333792039227</v>
      </c>
      <c r="H1598" s="247">
        <v>100</v>
      </c>
      <c r="I1598" s="111"/>
    </row>
    <row r="1599" spans="3:9" ht="16.5" hidden="1" customHeight="1" x14ac:dyDescent="0.25">
      <c r="C1599" s="226"/>
      <c r="D1599" s="412" t="s">
        <v>1366</v>
      </c>
      <c r="E1599" s="413">
        <v>222700000</v>
      </c>
      <c r="F1599" s="243">
        <v>221700000</v>
      </c>
      <c r="G1599" s="334">
        <f t="shared" si="87"/>
        <v>99.550965424337676</v>
      </c>
      <c r="H1599" s="247">
        <v>100</v>
      </c>
      <c r="I1599" s="111"/>
    </row>
    <row r="1600" spans="3:9" ht="16.5" hidden="1" customHeight="1" x14ac:dyDescent="0.25">
      <c r="C1600" s="226"/>
      <c r="D1600" s="412" t="s">
        <v>1367</v>
      </c>
      <c r="E1600" s="413">
        <v>207000000</v>
      </c>
      <c r="F1600" s="243">
        <v>207000000</v>
      </c>
      <c r="G1600" s="334">
        <f t="shared" si="87"/>
        <v>100</v>
      </c>
      <c r="H1600" s="247">
        <v>100</v>
      </c>
      <c r="I1600" s="111"/>
    </row>
    <row r="1601" spans="3:9" ht="16.5" hidden="1" customHeight="1" x14ac:dyDescent="0.25">
      <c r="C1601" s="226"/>
      <c r="D1601" s="412" t="s">
        <v>1368</v>
      </c>
      <c r="E1601" s="413">
        <v>350000000</v>
      </c>
      <c r="F1601" s="243">
        <v>349218100</v>
      </c>
      <c r="G1601" s="334">
        <f t="shared" si="87"/>
        <v>99.776600000000002</v>
      </c>
      <c r="H1601" s="247">
        <v>100</v>
      </c>
      <c r="I1601" s="111"/>
    </row>
    <row r="1602" spans="3:9" ht="16.5" hidden="1" customHeight="1" x14ac:dyDescent="0.25">
      <c r="C1602" s="226"/>
      <c r="D1602" s="412" t="s">
        <v>1369</v>
      </c>
      <c r="E1602" s="413">
        <v>74400000</v>
      </c>
      <c r="F1602" s="243">
        <v>74400000</v>
      </c>
      <c r="G1602" s="334">
        <f t="shared" si="87"/>
        <v>100</v>
      </c>
      <c r="H1602" s="247">
        <v>100</v>
      </c>
      <c r="I1602" s="111"/>
    </row>
    <row r="1603" spans="3:9" ht="16.5" hidden="1" customHeight="1" x14ac:dyDescent="0.25">
      <c r="C1603" s="226"/>
      <c r="D1603" s="316" t="s">
        <v>100</v>
      </c>
      <c r="E1603" s="411">
        <f>E1604</f>
        <v>8028495000</v>
      </c>
      <c r="F1603" s="242">
        <f>F1604</f>
        <v>8026579900</v>
      </c>
      <c r="G1603" s="336">
        <f t="shared" si="87"/>
        <v>99.976146214203283</v>
      </c>
      <c r="H1603" s="246">
        <v>100</v>
      </c>
      <c r="I1603" s="111"/>
    </row>
    <row r="1604" spans="3:9" s="115" customFormat="1" ht="16.5" hidden="1" customHeight="1" x14ac:dyDescent="0.25">
      <c r="C1604" s="222"/>
      <c r="D1604" s="412" t="s">
        <v>1370</v>
      </c>
      <c r="E1604" s="413">
        <v>8028495000</v>
      </c>
      <c r="F1604" s="243">
        <v>8026579900</v>
      </c>
      <c r="G1604" s="334">
        <f t="shared" si="87"/>
        <v>99.976146214203283</v>
      </c>
      <c r="H1604" s="247">
        <v>100</v>
      </c>
      <c r="I1604" s="121"/>
    </row>
    <row r="1605" spans="3:9" s="115" customFormat="1" ht="16.5" hidden="1" customHeight="1" x14ac:dyDescent="0.25">
      <c r="C1605" s="222"/>
      <c r="D1605" s="316" t="s">
        <v>1371</v>
      </c>
      <c r="E1605" s="411">
        <f>E1606</f>
        <v>963425000</v>
      </c>
      <c r="F1605" s="242">
        <f>F1606</f>
        <v>955984868</v>
      </c>
      <c r="G1605" s="336">
        <f t="shared" si="87"/>
        <v>99.227741443288267</v>
      </c>
      <c r="H1605" s="246">
        <v>100</v>
      </c>
      <c r="I1605" s="121"/>
    </row>
    <row r="1606" spans="3:9" ht="16.5" hidden="1" customHeight="1" x14ac:dyDescent="0.25">
      <c r="C1606" s="226"/>
      <c r="D1606" s="412" t="s">
        <v>1372</v>
      </c>
      <c r="E1606" s="413">
        <v>963425000</v>
      </c>
      <c r="F1606" s="243">
        <v>955984868</v>
      </c>
      <c r="G1606" s="334">
        <f t="shared" si="87"/>
        <v>99.227741443288267</v>
      </c>
      <c r="H1606" s="247">
        <v>100</v>
      </c>
      <c r="I1606" s="111"/>
    </row>
    <row r="1607" spans="3:9" ht="12" hidden="1" customHeight="1" x14ac:dyDescent="0.25">
      <c r="C1607" s="226"/>
      <c r="D1607" s="118"/>
      <c r="E1607" s="116"/>
      <c r="F1607" s="108"/>
      <c r="G1607" s="117"/>
      <c r="H1607" s="117"/>
      <c r="I1607" s="111"/>
    </row>
    <row r="1608" spans="3:9" ht="16.5" hidden="1" customHeight="1" x14ac:dyDescent="0.25">
      <c r="C1608" s="226"/>
      <c r="D1608" s="316" t="s">
        <v>1373</v>
      </c>
      <c r="E1608" s="410">
        <f>E1609+E1614</f>
        <v>8094161500</v>
      </c>
      <c r="F1608" s="242">
        <f>F1609+F1614</f>
        <v>8021620000</v>
      </c>
      <c r="G1608" s="336">
        <f t="shared" ref="G1608:G1615" si="88">F1608/E1608*100</f>
        <v>99.103779928285334</v>
      </c>
      <c r="H1608" s="246">
        <v>100</v>
      </c>
      <c r="I1608" s="111"/>
    </row>
    <row r="1609" spans="3:9" s="115" customFormat="1" ht="16.5" hidden="1" customHeight="1" x14ac:dyDescent="0.25">
      <c r="C1609" s="222"/>
      <c r="D1609" s="414" t="s">
        <v>1374</v>
      </c>
      <c r="E1609" s="410">
        <f>SUM(E1610:E1613)</f>
        <v>4650060000</v>
      </c>
      <c r="F1609" s="242">
        <f>SUM(F1610:F1613)</f>
        <v>4588620000</v>
      </c>
      <c r="G1609" s="336">
        <f t="shared" si="88"/>
        <v>98.67872672610676</v>
      </c>
      <c r="H1609" s="246">
        <v>100</v>
      </c>
      <c r="I1609" s="121"/>
    </row>
    <row r="1610" spans="3:9" ht="16.5" hidden="1" customHeight="1" x14ac:dyDescent="0.25">
      <c r="C1610" s="226"/>
      <c r="D1610" s="415" t="s">
        <v>1375</v>
      </c>
      <c r="E1610" s="416">
        <v>677130000</v>
      </c>
      <c r="F1610" s="243">
        <v>677130000</v>
      </c>
      <c r="G1610" s="334">
        <f t="shared" si="88"/>
        <v>100</v>
      </c>
      <c r="H1610" s="247">
        <v>100</v>
      </c>
      <c r="I1610" s="111"/>
    </row>
    <row r="1611" spans="3:9" ht="16.5" hidden="1" customHeight="1" x14ac:dyDescent="0.25">
      <c r="C1611" s="226"/>
      <c r="D1611" s="415" t="s">
        <v>1376</v>
      </c>
      <c r="E1611" s="416">
        <v>2597730000</v>
      </c>
      <c r="F1611" s="243">
        <v>2597730000</v>
      </c>
      <c r="G1611" s="334">
        <f t="shared" si="88"/>
        <v>100</v>
      </c>
      <c r="H1611" s="247">
        <v>100</v>
      </c>
      <c r="I1611" s="111"/>
    </row>
    <row r="1612" spans="3:9" ht="16.5" hidden="1" customHeight="1" x14ac:dyDescent="0.25">
      <c r="C1612" s="226"/>
      <c r="D1612" s="415" t="s">
        <v>1377</v>
      </c>
      <c r="E1612" s="416">
        <v>775200000</v>
      </c>
      <c r="F1612" s="243">
        <v>713760000</v>
      </c>
      <c r="G1612" s="334">
        <f t="shared" si="88"/>
        <v>92.074303405572749</v>
      </c>
      <c r="H1612" s="247">
        <v>100</v>
      </c>
      <c r="I1612" s="111"/>
    </row>
    <row r="1613" spans="3:9" ht="16.5" hidden="1" customHeight="1" x14ac:dyDescent="0.25">
      <c r="C1613" s="226"/>
      <c r="D1613" s="415" t="s">
        <v>1378</v>
      </c>
      <c r="E1613" s="416">
        <v>600000000</v>
      </c>
      <c r="F1613" s="243">
        <v>600000000</v>
      </c>
      <c r="G1613" s="334">
        <f t="shared" si="88"/>
        <v>100</v>
      </c>
      <c r="H1613" s="247">
        <v>100</v>
      </c>
      <c r="I1613" s="111"/>
    </row>
    <row r="1614" spans="3:9" s="115" customFormat="1" ht="16.5" hidden="1" customHeight="1" x14ac:dyDescent="0.25">
      <c r="C1614" s="222"/>
      <c r="D1614" s="316" t="s">
        <v>1371</v>
      </c>
      <c r="E1614" s="410">
        <f>E1615</f>
        <v>3444101500</v>
      </c>
      <c r="F1614" s="242">
        <f>F1615</f>
        <v>3433000000</v>
      </c>
      <c r="G1614" s="336">
        <f t="shared" si="88"/>
        <v>99.677666294097307</v>
      </c>
      <c r="H1614" s="246">
        <v>100</v>
      </c>
      <c r="I1614" s="121"/>
    </row>
    <row r="1615" spans="3:9" ht="31.5" hidden="1" customHeight="1" x14ac:dyDescent="0.25">
      <c r="C1615" s="226"/>
      <c r="D1615" s="412" t="s">
        <v>1379</v>
      </c>
      <c r="E1615" s="416">
        <v>3444101500</v>
      </c>
      <c r="F1615" s="243">
        <v>3433000000</v>
      </c>
      <c r="G1615" s="334">
        <f t="shared" si="88"/>
        <v>99.677666294097307</v>
      </c>
      <c r="H1615" s="247">
        <v>100</v>
      </c>
      <c r="I1615" s="111"/>
    </row>
    <row r="1616" spans="3:9" ht="12" hidden="1" customHeight="1" x14ac:dyDescent="0.25">
      <c r="C1616" s="226"/>
      <c r="D1616" s="118"/>
      <c r="E1616" s="116"/>
      <c r="F1616" s="108"/>
      <c r="G1616" s="117"/>
      <c r="H1616" s="117"/>
      <c r="I1616" s="111"/>
    </row>
    <row r="1617" spans="3:9" ht="16.5" hidden="1" customHeight="1" x14ac:dyDescent="0.25">
      <c r="C1617" s="226"/>
      <c r="D1617" s="316" t="s">
        <v>1380</v>
      </c>
      <c r="E1617" s="410">
        <f>E1618+E1621+E1627+E1629+E1631+E1635+E1638+E1640+E1648+E1650</f>
        <v>10915000000</v>
      </c>
      <c r="F1617" s="242">
        <f>F1618+F1621+F1627+F1629+F1631+F1635+F1638+F1640+F1648+F1650</f>
        <v>10769747595</v>
      </c>
      <c r="G1617" s="336">
        <f t="shared" ref="G1617:G1652" si="89">F1617/E1617*100</f>
        <v>98.669240448923503</v>
      </c>
      <c r="H1617" s="246">
        <v>100</v>
      </c>
      <c r="I1617" s="111"/>
    </row>
    <row r="1618" spans="3:9" s="115" customFormat="1" ht="16.5" hidden="1" customHeight="1" x14ac:dyDescent="0.25">
      <c r="C1618" s="222"/>
      <c r="D1618" s="316" t="s">
        <v>156</v>
      </c>
      <c r="E1618" s="411">
        <f>SUM(E1619:E1620)</f>
        <v>2000000000</v>
      </c>
      <c r="F1618" s="242">
        <f>SUM(F1619:F1620)</f>
        <v>1907963595</v>
      </c>
      <c r="G1618" s="336">
        <f t="shared" si="89"/>
        <v>95.398179749999997</v>
      </c>
      <c r="H1618" s="246">
        <v>100</v>
      </c>
      <c r="I1618" s="121"/>
    </row>
    <row r="1619" spans="3:9" ht="16.5" hidden="1" customHeight="1" x14ac:dyDescent="0.25">
      <c r="C1619" s="226"/>
      <c r="D1619" s="412" t="s">
        <v>1381</v>
      </c>
      <c r="E1619" s="413">
        <v>500000000</v>
      </c>
      <c r="F1619" s="243">
        <v>500000000</v>
      </c>
      <c r="G1619" s="334">
        <f t="shared" si="89"/>
        <v>100</v>
      </c>
      <c r="H1619" s="247">
        <v>100</v>
      </c>
      <c r="I1619" s="111"/>
    </row>
    <row r="1620" spans="3:9" ht="16.5" hidden="1" customHeight="1" x14ac:dyDescent="0.25">
      <c r="C1620" s="226"/>
      <c r="D1620" s="412" t="s">
        <v>1382</v>
      </c>
      <c r="E1620" s="413">
        <v>1500000000</v>
      </c>
      <c r="F1620" s="243">
        <v>1407963595</v>
      </c>
      <c r="G1620" s="334">
        <f t="shared" si="89"/>
        <v>93.864239666666677</v>
      </c>
      <c r="H1620" s="247">
        <v>100</v>
      </c>
      <c r="I1620" s="111"/>
    </row>
    <row r="1621" spans="3:9" s="115" customFormat="1" ht="16.5" hidden="1" customHeight="1" x14ac:dyDescent="0.25">
      <c r="C1621" s="222"/>
      <c r="D1621" s="316" t="s">
        <v>166</v>
      </c>
      <c r="E1621" s="411">
        <f>SUM(E1622:E1626)</f>
        <v>5475000000</v>
      </c>
      <c r="F1621" s="242">
        <f>SUM(F1622:F1626)</f>
        <v>5454750000</v>
      </c>
      <c r="G1621" s="336">
        <f t="shared" si="89"/>
        <v>99.630136986301366</v>
      </c>
      <c r="H1621" s="246">
        <v>100</v>
      </c>
      <c r="I1621" s="121"/>
    </row>
    <row r="1622" spans="3:9" ht="16.5" hidden="1" customHeight="1" x14ac:dyDescent="0.25">
      <c r="C1622" s="226"/>
      <c r="D1622" s="412" t="s">
        <v>1383</v>
      </c>
      <c r="E1622" s="413">
        <v>50000000</v>
      </c>
      <c r="F1622" s="243">
        <v>50000000</v>
      </c>
      <c r="G1622" s="334">
        <f t="shared" si="89"/>
        <v>100</v>
      </c>
      <c r="H1622" s="247">
        <v>100</v>
      </c>
      <c r="I1622" s="111"/>
    </row>
    <row r="1623" spans="3:9" ht="16.5" hidden="1" customHeight="1" x14ac:dyDescent="0.25">
      <c r="C1623" s="226"/>
      <c r="D1623" s="412" t="s">
        <v>794</v>
      </c>
      <c r="E1623" s="413">
        <v>200000000</v>
      </c>
      <c r="F1623" s="243">
        <v>200000000</v>
      </c>
      <c r="G1623" s="334">
        <f t="shared" si="89"/>
        <v>100</v>
      </c>
      <c r="H1623" s="247">
        <v>100</v>
      </c>
      <c r="I1623" s="111"/>
    </row>
    <row r="1624" spans="3:9" ht="16.5" hidden="1" customHeight="1" x14ac:dyDescent="0.25">
      <c r="C1624" s="226"/>
      <c r="D1624" s="412" t="s">
        <v>1384</v>
      </c>
      <c r="E1624" s="413">
        <v>4725000000</v>
      </c>
      <c r="F1624" s="243">
        <v>4723000000</v>
      </c>
      <c r="G1624" s="334">
        <f t="shared" si="89"/>
        <v>99.957671957671963</v>
      </c>
      <c r="H1624" s="247">
        <v>100</v>
      </c>
      <c r="I1624" s="111"/>
    </row>
    <row r="1625" spans="3:9" ht="16.5" hidden="1" customHeight="1" x14ac:dyDescent="0.25">
      <c r="C1625" s="226"/>
      <c r="D1625" s="412" t="s">
        <v>1385</v>
      </c>
      <c r="E1625" s="413">
        <v>200000000</v>
      </c>
      <c r="F1625" s="243">
        <v>181750000</v>
      </c>
      <c r="G1625" s="334">
        <f t="shared" si="89"/>
        <v>90.875</v>
      </c>
      <c r="H1625" s="247">
        <v>100</v>
      </c>
      <c r="I1625" s="111"/>
    </row>
    <row r="1626" spans="3:9" ht="16.5" hidden="1" customHeight="1" x14ac:dyDescent="0.25">
      <c r="C1626" s="226"/>
      <c r="D1626" s="412" t="s">
        <v>1386</v>
      </c>
      <c r="E1626" s="413">
        <v>300000000</v>
      </c>
      <c r="F1626" s="243">
        <v>300000000</v>
      </c>
      <c r="G1626" s="336">
        <f t="shared" si="89"/>
        <v>100</v>
      </c>
      <c r="H1626" s="247">
        <v>100</v>
      </c>
      <c r="I1626" s="111"/>
    </row>
    <row r="1627" spans="3:9" s="115" customFormat="1" ht="16.5" hidden="1" customHeight="1" x14ac:dyDescent="0.25">
      <c r="C1627" s="222"/>
      <c r="D1627" s="316" t="s">
        <v>1387</v>
      </c>
      <c r="E1627" s="411">
        <f>E1628</f>
        <v>200000000</v>
      </c>
      <c r="F1627" s="242">
        <f>F1628</f>
        <v>173420000</v>
      </c>
      <c r="G1627" s="336">
        <f t="shared" si="89"/>
        <v>86.71</v>
      </c>
      <c r="H1627" s="246">
        <v>100</v>
      </c>
      <c r="I1627" s="121"/>
    </row>
    <row r="1628" spans="3:9" ht="15.75" hidden="1" customHeight="1" x14ac:dyDescent="0.25">
      <c r="C1628" s="226"/>
      <c r="D1628" s="412" t="s">
        <v>1388</v>
      </c>
      <c r="E1628" s="413">
        <v>200000000</v>
      </c>
      <c r="F1628" s="243">
        <v>173420000</v>
      </c>
      <c r="G1628" s="334">
        <f t="shared" si="89"/>
        <v>86.71</v>
      </c>
      <c r="H1628" s="247">
        <v>100</v>
      </c>
      <c r="I1628" s="111"/>
    </row>
    <row r="1629" spans="3:9" s="115" customFormat="1" ht="16.5" hidden="1" customHeight="1" x14ac:dyDescent="0.25">
      <c r="C1629" s="222"/>
      <c r="D1629" s="316" t="s">
        <v>168</v>
      </c>
      <c r="E1629" s="411">
        <f>E1630</f>
        <v>75000000</v>
      </c>
      <c r="F1629" s="242">
        <f>F1630</f>
        <v>75000000</v>
      </c>
      <c r="G1629" s="336">
        <f t="shared" si="89"/>
        <v>100</v>
      </c>
      <c r="H1629" s="246">
        <v>100</v>
      </c>
      <c r="I1629" s="121"/>
    </row>
    <row r="1630" spans="3:9" ht="16.5" hidden="1" customHeight="1" x14ac:dyDescent="0.25">
      <c r="C1630" s="226"/>
      <c r="D1630" s="412" t="s">
        <v>1389</v>
      </c>
      <c r="E1630" s="413">
        <v>75000000</v>
      </c>
      <c r="F1630" s="242">
        <v>75000000</v>
      </c>
      <c r="G1630" s="334">
        <f t="shared" si="89"/>
        <v>100</v>
      </c>
      <c r="H1630" s="247">
        <v>100</v>
      </c>
      <c r="I1630" s="111"/>
    </row>
    <row r="1631" spans="3:9" s="115" customFormat="1" ht="16.5" hidden="1" customHeight="1" x14ac:dyDescent="0.25">
      <c r="C1631" s="222"/>
      <c r="D1631" s="316" t="s">
        <v>705</v>
      </c>
      <c r="E1631" s="411">
        <f>SUM(E1632:E1634)</f>
        <v>405000000</v>
      </c>
      <c r="F1631" s="242">
        <f>SUM(F1632:F1634)</f>
        <v>405000000</v>
      </c>
      <c r="G1631" s="336">
        <f t="shared" si="89"/>
        <v>100</v>
      </c>
      <c r="H1631" s="246">
        <v>100</v>
      </c>
      <c r="I1631" s="121"/>
    </row>
    <row r="1632" spans="3:9" ht="16.5" hidden="1" customHeight="1" x14ac:dyDescent="0.25">
      <c r="C1632" s="226"/>
      <c r="D1632" s="412" t="s">
        <v>1390</v>
      </c>
      <c r="E1632" s="413">
        <v>100000000</v>
      </c>
      <c r="F1632" s="243">
        <v>100000000</v>
      </c>
      <c r="G1632" s="334">
        <f t="shared" si="89"/>
        <v>100</v>
      </c>
      <c r="H1632" s="247">
        <v>100</v>
      </c>
      <c r="I1632" s="111"/>
    </row>
    <row r="1633" spans="3:9" ht="16.5" hidden="1" customHeight="1" x14ac:dyDescent="0.25">
      <c r="C1633" s="226"/>
      <c r="D1633" s="412" t="s">
        <v>1391</v>
      </c>
      <c r="E1633" s="413">
        <v>200000000</v>
      </c>
      <c r="F1633" s="243">
        <v>200000000</v>
      </c>
      <c r="G1633" s="334">
        <f t="shared" si="89"/>
        <v>100</v>
      </c>
      <c r="H1633" s="247">
        <v>100</v>
      </c>
      <c r="I1633" s="111"/>
    </row>
    <row r="1634" spans="3:9" ht="16.5" hidden="1" customHeight="1" x14ac:dyDescent="0.25">
      <c r="C1634" s="226"/>
      <c r="D1634" s="412" t="s">
        <v>1392</v>
      </c>
      <c r="E1634" s="413">
        <v>105000000</v>
      </c>
      <c r="F1634" s="243">
        <v>105000000</v>
      </c>
      <c r="G1634" s="334">
        <f t="shared" si="89"/>
        <v>100</v>
      </c>
      <c r="H1634" s="247">
        <v>100</v>
      </c>
      <c r="I1634" s="111"/>
    </row>
    <row r="1635" spans="3:9" s="115" customFormat="1" ht="16.5" hidden="1" customHeight="1" x14ac:dyDescent="0.25">
      <c r="C1635" s="222"/>
      <c r="D1635" s="316" t="s">
        <v>177</v>
      </c>
      <c r="E1635" s="411">
        <f>SUM(E1636:E1637)</f>
        <v>465000000</v>
      </c>
      <c r="F1635" s="242">
        <f>SUM(F1636:F1637)</f>
        <v>465000000</v>
      </c>
      <c r="G1635" s="336">
        <f t="shared" si="89"/>
        <v>100</v>
      </c>
      <c r="H1635" s="246">
        <v>100</v>
      </c>
      <c r="I1635" s="121"/>
    </row>
    <row r="1636" spans="3:9" ht="16.5" hidden="1" customHeight="1" x14ac:dyDescent="0.25">
      <c r="C1636" s="226"/>
      <c r="D1636" s="412" t="s">
        <v>708</v>
      </c>
      <c r="E1636" s="413">
        <v>275000000</v>
      </c>
      <c r="F1636" s="243">
        <v>275000000</v>
      </c>
      <c r="G1636" s="336">
        <f t="shared" si="89"/>
        <v>100</v>
      </c>
      <c r="H1636" s="247">
        <v>100</v>
      </c>
      <c r="I1636" s="111"/>
    </row>
    <row r="1637" spans="3:9" ht="16.5" hidden="1" customHeight="1" x14ac:dyDescent="0.25">
      <c r="C1637" s="226"/>
      <c r="D1637" s="412" t="s">
        <v>1393</v>
      </c>
      <c r="E1637" s="413">
        <v>190000000</v>
      </c>
      <c r="F1637" s="243">
        <v>190000000</v>
      </c>
      <c r="G1637" s="336">
        <f t="shared" si="89"/>
        <v>100</v>
      </c>
      <c r="H1637" s="247">
        <v>100</v>
      </c>
      <c r="I1637" s="111"/>
    </row>
    <row r="1638" spans="3:9" s="115" customFormat="1" ht="16.5" hidden="1" customHeight="1" x14ac:dyDescent="0.25">
      <c r="C1638" s="222"/>
      <c r="D1638" s="316" t="s">
        <v>179</v>
      </c>
      <c r="E1638" s="411">
        <f>E1639</f>
        <v>150000000</v>
      </c>
      <c r="F1638" s="242">
        <f>F1639</f>
        <v>147600000</v>
      </c>
      <c r="G1638" s="336">
        <f t="shared" si="89"/>
        <v>98.4</v>
      </c>
      <c r="H1638" s="246">
        <v>100</v>
      </c>
      <c r="I1638" s="121"/>
    </row>
    <row r="1639" spans="3:9" ht="16.5" hidden="1" customHeight="1" x14ac:dyDescent="0.25">
      <c r="C1639" s="226"/>
      <c r="D1639" s="412" t="s">
        <v>1394</v>
      </c>
      <c r="E1639" s="413">
        <v>150000000</v>
      </c>
      <c r="F1639" s="243">
        <v>147600000</v>
      </c>
      <c r="G1639" s="334">
        <f t="shared" si="89"/>
        <v>98.4</v>
      </c>
      <c r="H1639" s="247">
        <v>100</v>
      </c>
      <c r="I1639" s="111"/>
    </row>
    <row r="1640" spans="3:9" s="115" customFormat="1" ht="16.5" hidden="1" customHeight="1" x14ac:dyDescent="0.25">
      <c r="C1640" s="222"/>
      <c r="D1640" s="316" t="s">
        <v>182</v>
      </c>
      <c r="E1640" s="411">
        <f>SUM(E1641:E1647)</f>
        <v>1535000000</v>
      </c>
      <c r="F1640" s="242">
        <f>SUM(F1641:F1647)</f>
        <v>1531014000</v>
      </c>
      <c r="G1640" s="336">
        <f t="shared" si="89"/>
        <v>99.740325732899024</v>
      </c>
      <c r="H1640" s="246">
        <v>100</v>
      </c>
      <c r="I1640" s="121"/>
    </row>
    <row r="1641" spans="3:9" ht="16.5" hidden="1" customHeight="1" x14ac:dyDescent="0.25">
      <c r="C1641" s="226"/>
      <c r="D1641" s="412" t="s">
        <v>1395</v>
      </c>
      <c r="E1641" s="413">
        <v>100000000</v>
      </c>
      <c r="F1641" s="243">
        <v>100000000</v>
      </c>
      <c r="G1641" s="334">
        <f t="shared" si="89"/>
        <v>100</v>
      </c>
      <c r="H1641" s="247">
        <v>100</v>
      </c>
      <c r="I1641" s="111"/>
    </row>
    <row r="1642" spans="3:9" ht="16.5" hidden="1" customHeight="1" x14ac:dyDescent="0.25">
      <c r="C1642" s="226"/>
      <c r="D1642" s="412" t="s">
        <v>1396</v>
      </c>
      <c r="E1642" s="413">
        <v>100000000</v>
      </c>
      <c r="F1642" s="243">
        <v>100000000</v>
      </c>
      <c r="G1642" s="334">
        <f t="shared" si="89"/>
        <v>100</v>
      </c>
      <c r="H1642" s="247">
        <v>100</v>
      </c>
      <c r="I1642" s="111"/>
    </row>
    <row r="1643" spans="3:9" ht="16.5" hidden="1" customHeight="1" x14ac:dyDescent="0.25">
      <c r="C1643" s="226"/>
      <c r="D1643" s="412" t="s">
        <v>1397</v>
      </c>
      <c r="E1643" s="413">
        <v>650000000</v>
      </c>
      <c r="F1643" s="243">
        <v>648846000</v>
      </c>
      <c r="G1643" s="334">
        <f t="shared" si="89"/>
        <v>99.822461538461539</v>
      </c>
      <c r="H1643" s="247">
        <v>100</v>
      </c>
      <c r="I1643" s="111"/>
    </row>
    <row r="1644" spans="3:9" ht="16.5" hidden="1" customHeight="1" x14ac:dyDescent="0.25">
      <c r="C1644" s="226"/>
      <c r="D1644" s="412" t="s">
        <v>1398</v>
      </c>
      <c r="E1644" s="413">
        <v>250000000</v>
      </c>
      <c r="F1644" s="243">
        <v>250000000</v>
      </c>
      <c r="G1644" s="334">
        <f t="shared" si="89"/>
        <v>100</v>
      </c>
      <c r="H1644" s="247">
        <v>100</v>
      </c>
      <c r="I1644" s="111"/>
    </row>
    <row r="1645" spans="3:9" ht="16.5" hidden="1" customHeight="1" x14ac:dyDescent="0.25">
      <c r="C1645" s="226"/>
      <c r="D1645" s="412" t="s">
        <v>1399</v>
      </c>
      <c r="E1645" s="413">
        <v>100000000</v>
      </c>
      <c r="F1645" s="243">
        <v>98100000</v>
      </c>
      <c r="G1645" s="334">
        <f t="shared" si="89"/>
        <v>98.1</v>
      </c>
      <c r="H1645" s="247">
        <v>100</v>
      </c>
      <c r="I1645" s="111"/>
    </row>
    <row r="1646" spans="3:9" ht="16.5" hidden="1" customHeight="1" x14ac:dyDescent="0.25">
      <c r="C1646" s="226"/>
      <c r="D1646" s="412" t="s">
        <v>1400</v>
      </c>
      <c r="E1646" s="413">
        <v>135000000</v>
      </c>
      <c r="F1646" s="243">
        <v>134968000</v>
      </c>
      <c r="G1646" s="334">
        <f t="shared" si="89"/>
        <v>99.976296296296297</v>
      </c>
      <c r="H1646" s="247">
        <v>100</v>
      </c>
      <c r="I1646" s="111"/>
    </row>
    <row r="1647" spans="3:9" ht="16.5" hidden="1" customHeight="1" x14ac:dyDescent="0.25">
      <c r="C1647" s="226"/>
      <c r="D1647" s="412" t="s">
        <v>1401</v>
      </c>
      <c r="E1647" s="413">
        <v>200000000</v>
      </c>
      <c r="F1647" s="243">
        <v>199100000</v>
      </c>
      <c r="G1647" s="336">
        <f t="shared" si="89"/>
        <v>99.550000000000011</v>
      </c>
      <c r="H1647" s="247">
        <v>100</v>
      </c>
      <c r="I1647" s="111"/>
    </row>
    <row r="1648" spans="3:9" s="115" customFormat="1" ht="26.25" hidden="1" customHeight="1" x14ac:dyDescent="0.25">
      <c r="C1648" s="222"/>
      <c r="D1648" s="316" t="s">
        <v>1402</v>
      </c>
      <c r="E1648" s="411">
        <f>E1649</f>
        <v>410000000</v>
      </c>
      <c r="F1648" s="242">
        <f>F1649</f>
        <v>410000000</v>
      </c>
      <c r="G1648" s="336">
        <f t="shared" si="89"/>
        <v>100</v>
      </c>
      <c r="H1648" s="246">
        <v>100</v>
      </c>
      <c r="I1648" s="121"/>
    </row>
    <row r="1649" spans="3:9" ht="16.5" hidden="1" customHeight="1" x14ac:dyDescent="0.25">
      <c r="C1649" s="226"/>
      <c r="D1649" s="412" t="s">
        <v>1403</v>
      </c>
      <c r="E1649" s="413">
        <v>410000000</v>
      </c>
      <c r="F1649" s="243">
        <v>410000000</v>
      </c>
      <c r="G1649" s="334">
        <f t="shared" si="89"/>
        <v>100</v>
      </c>
      <c r="H1649" s="247">
        <v>100</v>
      </c>
      <c r="I1649" s="111"/>
    </row>
    <row r="1650" spans="3:9" s="115" customFormat="1" ht="16.5" hidden="1" customHeight="1" x14ac:dyDescent="0.25">
      <c r="C1650" s="222"/>
      <c r="D1650" s="316" t="s">
        <v>720</v>
      </c>
      <c r="E1650" s="411">
        <f>SUM(E1651:E1652)</f>
        <v>200000000</v>
      </c>
      <c r="F1650" s="242">
        <f>SUM(F1651:F1652)</f>
        <v>200000000</v>
      </c>
      <c r="G1650" s="336">
        <f t="shared" si="89"/>
        <v>100</v>
      </c>
      <c r="H1650" s="246">
        <v>100</v>
      </c>
      <c r="I1650" s="121"/>
    </row>
    <row r="1651" spans="3:9" ht="16.5" hidden="1" customHeight="1" x14ac:dyDescent="0.25">
      <c r="C1651" s="226"/>
      <c r="D1651" s="412" t="s">
        <v>1404</v>
      </c>
      <c r="E1651" s="413">
        <v>50000000</v>
      </c>
      <c r="F1651" s="243">
        <v>50000000</v>
      </c>
      <c r="G1651" s="334">
        <f t="shared" si="89"/>
        <v>100</v>
      </c>
      <c r="H1651" s="247">
        <v>100</v>
      </c>
      <c r="I1651" s="111"/>
    </row>
    <row r="1652" spans="3:9" ht="16.5" hidden="1" customHeight="1" x14ac:dyDescent="0.25">
      <c r="C1652" s="226"/>
      <c r="D1652" s="412" t="s">
        <v>1405</v>
      </c>
      <c r="E1652" s="413">
        <v>150000000</v>
      </c>
      <c r="F1652" s="243">
        <v>150000000</v>
      </c>
      <c r="G1652" s="334">
        <f t="shared" si="89"/>
        <v>100</v>
      </c>
      <c r="H1652" s="247">
        <v>100</v>
      </c>
      <c r="I1652" s="111"/>
    </row>
    <row r="1653" spans="3:9" ht="16.5" hidden="1" customHeight="1" x14ac:dyDescent="0.25">
      <c r="C1653" s="226"/>
      <c r="D1653" s="118"/>
      <c r="E1653" s="116"/>
      <c r="F1653" s="108"/>
      <c r="G1653" s="117"/>
      <c r="H1653" s="117"/>
      <c r="I1653" s="111"/>
    </row>
    <row r="1654" spans="3:9" ht="16.5" hidden="1" customHeight="1" x14ac:dyDescent="0.25">
      <c r="C1654" s="226"/>
      <c r="D1654" s="316" t="s">
        <v>1406</v>
      </c>
      <c r="E1654" s="411">
        <f>E1655+E1658+E1661</f>
        <v>3283475750</v>
      </c>
      <c r="F1654" s="242">
        <f>F1655+F1658+F1661</f>
        <v>3171146460</v>
      </c>
      <c r="G1654" s="336">
        <f t="shared" ref="G1654:G1662" si="90">F1654/E1654*100</f>
        <v>96.578951740392782</v>
      </c>
      <c r="H1654" s="246">
        <v>100</v>
      </c>
      <c r="I1654" s="111"/>
    </row>
    <row r="1655" spans="3:9" s="115" customFormat="1" ht="16.5" hidden="1" customHeight="1" x14ac:dyDescent="0.25">
      <c r="C1655" s="222"/>
      <c r="D1655" s="316" t="s">
        <v>156</v>
      </c>
      <c r="E1655" s="411">
        <f>SUM(E1656:E1657)</f>
        <v>1605000000</v>
      </c>
      <c r="F1655" s="242">
        <f>SUM(F1656:F1657)</f>
        <v>1598746000</v>
      </c>
      <c r="G1655" s="336">
        <f t="shared" si="90"/>
        <v>99.610342679127726</v>
      </c>
      <c r="H1655" s="246">
        <v>100</v>
      </c>
      <c r="I1655" s="121"/>
    </row>
    <row r="1656" spans="3:9" s="115" customFormat="1" ht="16.5" hidden="1" customHeight="1" x14ac:dyDescent="0.25">
      <c r="C1656" s="222"/>
      <c r="D1656" s="412" t="s">
        <v>1381</v>
      </c>
      <c r="E1656" s="413">
        <v>500000000</v>
      </c>
      <c r="F1656" s="243">
        <v>499643000</v>
      </c>
      <c r="G1656" s="334">
        <f t="shared" si="90"/>
        <v>99.928600000000003</v>
      </c>
      <c r="H1656" s="247">
        <v>100</v>
      </c>
      <c r="I1656" s="121"/>
    </row>
    <row r="1657" spans="3:9" s="115" customFormat="1" ht="16.5" hidden="1" customHeight="1" x14ac:dyDescent="0.25">
      <c r="C1657" s="222"/>
      <c r="D1657" s="412" t="s">
        <v>1382</v>
      </c>
      <c r="E1657" s="413">
        <v>1105000000</v>
      </c>
      <c r="F1657" s="243">
        <v>1099103000</v>
      </c>
      <c r="G1657" s="334">
        <f t="shared" si="90"/>
        <v>99.466334841628949</v>
      </c>
      <c r="H1657" s="247">
        <v>100</v>
      </c>
      <c r="I1657" s="121"/>
    </row>
    <row r="1658" spans="3:9" s="115" customFormat="1" ht="16.5" hidden="1" customHeight="1" x14ac:dyDescent="0.25">
      <c r="C1658" s="222"/>
      <c r="D1658" s="316" t="s">
        <v>166</v>
      </c>
      <c r="E1658" s="411">
        <f>SUM(E1659:E1660)</f>
        <v>1428475750</v>
      </c>
      <c r="F1658" s="242">
        <f>SUM(F1659:F1660)</f>
        <v>1425032460</v>
      </c>
      <c r="G1658" s="336">
        <f t="shared" si="90"/>
        <v>99.758953555914403</v>
      </c>
      <c r="H1658" s="246">
        <v>100</v>
      </c>
      <c r="I1658" s="121"/>
    </row>
    <row r="1659" spans="3:9" s="115" customFormat="1" ht="16.5" hidden="1" customHeight="1" x14ac:dyDescent="0.25">
      <c r="C1659" s="222"/>
      <c r="D1659" s="412" t="s">
        <v>1407</v>
      </c>
      <c r="E1659" s="413">
        <v>1228475750</v>
      </c>
      <c r="F1659" s="243">
        <v>1225032460</v>
      </c>
      <c r="G1659" s="334">
        <f t="shared" si="90"/>
        <v>99.719710380933449</v>
      </c>
      <c r="H1659" s="247">
        <v>100</v>
      </c>
      <c r="I1659" s="121"/>
    </row>
    <row r="1660" spans="3:9" s="115" customFormat="1" ht="16.5" hidden="1" customHeight="1" x14ac:dyDescent="0.25">
      <c r="C1660" s="222"/>
      <c r="D1660" s="412" t="s">
        <v>1408</v>
      </c>
      <c r="E1660" s="413">
        <v>200000000</v>
      </c>
      <c r="F1660" s="243">
        <v>200000000</v>
      </c>
      <c r="G1660" s="334">
        <f t="shared" si="90"/>
        <v>100</v>
      </c>
      <c r="H1660" s="247">
        <v>100</v>
      </c>
      <c r="I1660" s="121"/>
    </row>
    <row r="1661" spans="3:9" s="115" customFormat="1" ht="16.5" hidden="1" customHeight="1" x14ac:dyDescent="0.25">
      <c r="C1661" s="222"/>
      <c r="D1661" s="316" t="s">
        <v>182</v>
      </c>
      <c r="E1661" s="411">
        <f>E1662</f>
        <v>250000000</v>
      </c>
      <c r="F1661" s="242">
        <f>F1662</f>
        <v>147368000</v>
      </c>
      <c r="G1661" s="336">
        <f t="shared" si="90"/>
        <v>58.947200000000002</v>
      </c>
      <c r="H1661" s="246">
        <v>100</v>
      </c>
      <c r="I1661" s="121"/>
    </row>
    <row r="1662" spans="3:9" ht="16.5" hidden="1" customHeight="1" x14ac:dyDescent="0.25">
      <c r="C1662" s="226"/>
      <c r="D1662" s="412" t="s">
        <v>1397</v>
      </c>
      <c r="E1662" s="413">
        <v>250000000</v>
      </c>
      <c r="F1662" s="243">
        <v>147368000</v>
      </c>
      <c r="G1662" s="334">
        <f t="shared" si="90"/>
        <v>58.947200000000002</v>
      </c>
      <c r="H1662" s="247">
        <v>100</v>
      </c>
      <c r="I1662" s="111"/>
    </row>
    <row r="1663" spans="3:9" ht="16.5" hidden="1" customHeight="1" x14ac:dyDescent="0.25">
      <c r="C1663" s="226"/>
      <c r="D1663" s="118"/>
      <c r="E1663" s="116"/>
      <c r="F1663" s="108"/>
      <c r="G1663" s="117"/>
      <c r="H1663" s="117"/>
      <c r="I1663" s="111"/>
    </row>
    <row r="1664" spans="3:9" ht="16.5" hidden="1" customHeight="1" x14ac:dyDescent="0.25">
      <c r="C1664" s="226"/>
      <c r="D1664" s="316" t="s">
        <v>1409</v>
      </c>
      <c r="E1664" s="411">
        <f>E1665</f>
        <v>1000000000</v>
      </c>
      <c r="F1664" s="242">
        <f>F1665</f>
        <v>1000000000</v>
      </c>
      <c r="G1664" s="336">
        <f>F1664/E1664*100</f>
        <v>100</v>
      </c>
      <c r="H1664" s="246">
        <v>100</v>
      </c>
      <c r="I1664" s="311"/>
    </row>
    <row r="1665" spans="3:9" s="115" customFormat="1" ht="16.5" hidden="1" customHeight="1" x14ac:dyDescent="0.25">
      <c r="C1665" s="222"/>
      <c r="D1665" s="412" t="s">
        <v>1410</v>
      </c>
      <c r="E1665" s="413">
        <v>1000000000</v>
      </c>
      <c r="F1665" s="243">
        <v>1000000000</v>
      </c>
      <c r="G1665" s="334">
        <f>F1665/E1665*100</f>
        <v>100</v>
      </c>
      <c r="H1665" s="247">
        <v>100</v>
      </c>
      <c r="I1665" s="310"/>
    </row>
    <row r="1666" spans="3:9" ht="16.5" hidden="1" customHeight="1" x14ac:dyDescent="0.25">
      <c r="C1666" s="226"/>
      <c r="D1666" s="412"/>
      <c r="E1666" s="413"/>
      <c r="F1666" s="243"/>
      <c r="G1666" s="334"/>
      <c r="H1666" s="247"/>
      <c r="I1666" s="310"/>
    </row>
    <row r="1667" spans="3:9" ht="16.5" hidden="1" customHeight="1" x14ac:dyDescent="0.25">
      <c r="C1667" s="226"/>
      <c r="D1667" s="316" t="s">
        <v>1411</v>
      </c>
      <c r="E1667" s="411">
        <f>E1669</f>
        <v>1600000000</v>
      </c>
      <c r="F1667" s="242">
        <f>F1669</f>
        <v>1600000000</v>
      </c>
      <c r="G1667" s="336">
        <f>F1667/E1667*100</f>
        <v>100</v>
      </c>
      <c r="H1667" s="246">
        <v>100</v>
      </c>
      <c r="I1667" s="311"/>
    </row>
    <row r="1668" spans="3:9" s="115" customFormat="1" ht="16.5" hidden="1" customHeight="1" x14ac:dyDescent="0.25">
      <c r="C1668" s="222"/>
      <c r="D1668" s="415" t="s">
        <v>1412</v>
      </c>
      <c r="E1668" s="416"/>
      <c r="F1668" s="242"/>
      <c r="G1668" s="334"/>
      <c r="H1668" s="247"/>
      <c r="I1668" s="310"/>
    </row>
    <row r="1669" spans="3:9" s="115" customFormat="1" ht="16.5" hidden="1" customHeight="1" x14ac:dyDescent="0.25">
      <c r="C1669" s="222"/>
      <c r="D1669" s="415" t="s">
        <v>1413</v>
      </c>
      <c r="E1669" s="416">
        <v>1600000000</v>
      </c>
      <c r="F1669" s="243">
        <v>1600000000</v>
      </c>
      <c r="G1669" s="334">
        <f>F1669/E1669*100</f>
        <v>100</v>
      </c>
      <c r="H1669" s="247">
        <v>100</v>
      </c>
      <c r="I1669" s="310"/>
    </row>
    <row r="1670" spans="3:9" ht="16.5" hidden="1" customHeight="1" x14ac:dyDescent="0.25">
      <c r="C1670" s="226"/>
      <c r="D1670" s="412"/>
      <c r="E1670" s="413"/>
      <c r="F1670" s="243"/>
      <c r="G1670" s="334"/>
      <c r="H1670" s="247"/>
      <c r="I1670" s="310"/>
    </row>
    <row r="1671" spans="3:9" ht="16.5" hidden="1" customHeight="1" x14ac:dyDescent="0.25">
      <c r="C1671" s="226"/>
      <c r="D1671" s="316" t="s">
        <v>1414</v>
      </c>
      <c r="E1671" s="411">
        <f>E1672</f>
        <v>6400000000</v>
      </c>
      <c r="F1671" s="242">
        <f>F1672</f>
        <v>2886256840</v>
      </c>
      <c r="G1671" s="336">
        <f>F1671/E1671*100</f>
        <v>45.097763125</v>
      </c>
      <c r="H1671" s="246">
        <v>55</v>
      </c>
      <c r="I1671" s="311"/>
    </row>
    <row r="1672" spans="3:9" ht="16.5" hidden="1" customHeight="1" x14ac:dyDescent="0.25">
      <c r="C1672" s="226"/>
      <c r="D1672" s="414" t="s">
        <v>784</v>
      </c>
      <c r="E1672" s="417">
        <f>SUM(E1673:E1674)</f>
        <v>6400000000</v>
      </c>
      <c r="F1672" s="242">
        <f>SUM(F1673:F1674)</f>
        <v>2886256840</v>
      </c>
      <c r="G1672" s="336">
        <f>F1672/E1672*100</f>
        <v>45.097763125</v>
      </c>
      <c r="H1672" s="246">
        <v>55</v>
      </c>
      <c r="I1672" s="311"/>
    </row>
    <row r="1673" spans="3:9" ht="16.5" hidden="1" customHeight="1" x14ac:dyDescent="0.25">
      <c r="C1673" s="226"/>
      <c r="D1673" s="412" t="s">
        <v>1415</v>
      </c>
      <c r="E1673" s="413">
        <v>6132000000</v>
      </c>
      <c r="F1673" s="243">
        <v>2618256840</v>
      </c>
      <c r="G1673" s="334">
        <f>+F1673/E1673*100</f>
        <v>42.698252446183957</v>
      </c>
      <c r="H1673" s="247">
        <v>55</v>
      </c>
      <c r="I1673" s="310"/>
    </row>
    <row r="1674" spans="3:9" ht="16.5" hidden="1" customHeight="1" x14ac:dyDescent="0.25">
      <c r="C1674" s="226"/>
      <c r="D1674" s="412" t="s">
        <v>1416</v>
      </c>
      <c r="E1674" s="413">
        <v>268000000</v>
      </c>
      <c r="F1674" s="243">
        <v>268000000</v>
      </c>
      <c r="G1674" s="334">
        <f>+F1674/E1674*100</f>
        <v>100</v>
      </c>
      <c r="H1674" s="247">
        <v>100</v>
      </c>
      <c r="I1674" s="310"/>
    </row>
    <row r="1675" spans="3:9" ht="16.5" hidden="1" customHeight="1" x14ac:dyDescent="0.25">
      <c r="C1675" s="226"/>
      <c r="D1675" s="412"/>
      <c r="E1675" s="413"/>
      <c r="F1675" s="243"/>
      <c r="G1675" s="334"/>
      <c r="H1675" s="247"/>
      <c r="I1675" s="310"/>
    </row>
    <row r="1676" spans="3:9" ht="16.5" hidden="1" customHeight="1" x14ac:dyDescent="0.25">
      <c r="C1676" s="226"/>
      <c r="D1676" s="316" t="s">
        <v>1417</v>
      </c>
      <c r="E1676" s="411">
        <f>E1677+E1679</f>
        <v>764126000</v>
      </c>
      <c r="F1676" s="242">
        <f>F1677+F1679</f>
        <v>761811000</v>
      </c>
      <c r="G1676" s="336">
        <f t="shared" ref="G1676:G1692" si="91">F1676/E1676*100</f>
        <v>99.69703949348667</v>
      </c>
      <c r="H1676" s="246">
        <v>100</v>
      </c>
      <c r="I1676" s="311"/>
    </row>
    <row r="1677" spans="3:9" s="115" customFormat="1" ht="16.5" hidden="1" customHeight="1" x14ac:dyDescent="0.25">
      <c r="C1677" s="222"/>
      <c r="D1677" s="316" t="s">
        <v>1418</v>
      </c>
      <c r="E1677" s="418">
        <f>E1678</f>
        <v>500000000</v>
      </c>
      <c r="F1677" s="242">
        <f>F1678</f>
        <v>499617000</v>
      </c>
      <c r="G1677" s="336">
        <f t="shared" si="91"/>
        <v>99.923400000000001</v>
      </c>
      <c r="H1677" s="246">
        <v>100</v>
      </c>
      <c r="I1677" s="311"/>
    </row>
    <row r="1678" spans="3:9" s="115" customFormat="1" ht="16.5" hidden="1" customHeight="1" x14ac:dyDescent="0.25">
      <c r="C1678" s="222"/>
      <c r="D1678" s="412" t="s">
        <v>1419</v>
      </c>
      <c r="E1678" s="419">
        <v>500000000</v>
      </c>
      <c r="F1678" s="243">
        <v>499617000</v>
      </c>
      <c r="G1678" s="334">
        <f t="shared" si="91"/>
        <v>99.923400000000001</v>
      </c>
      <c r="H1678" s="247">
        <v>100</v>
      </c>
      <c r="I1678" s="310"/>
    </row>
    <row r="1679" spans="3:9" s="115" customFormat="1" ht="16.5" hidden="1" customHeight="1" x14ac:dyDescent="0.25">
      <c r="C1679" s="222"/>
      <c r="D1679" s="316" t="s">
        <v>1420</v>
      </c>
      <c r="E1679" s="418">
        <f>E1680</f>
        <v>264126000</v>
      </c>
      <c r="F1679" s="242">
        <f t="shared" ref="F1679" si="92">F1680</f>
        <v>262194000</v>
      </c>
      <c r="G1679" s="336">
        <f t="shared" si="91"/>
        <v>99.268530928420532</v>
      </c>
      <c r="H1679" s="246">
        <v>100</v>
      </c>
      <c r="I1679" s="311"/>
    </row>
    <row r="1680" spans="3:9" ht="16.5" hidden="1" customHeight="1" x14ac:dyDescent="0.25">
      <c r="C1680" s="226"/>
      <c r="D1680" s="412" t="s">
        <v>1421</v>
      </c>
      <c r="E1680" s="419">
        <v>264126000</v>
      </c>
      <c r="F1680" s="243">
        <v>262194000</v>
      </c>
      <c r="G1680" s="334">
        <f t="shared" si="91"/>
        <v>99.268530928420532</v>
      </c>
      <c r="H1680" s="247">
        <v>100</v>
      </c>
      <c r="I1680" s="310"/>
    </row>
    <row r="1681" spans="3:9" ht="16.5" hidden="1" customHeight="1" x14ac:dyDescent="0.25">
      <c r="C1681" s="226"/>
      <c r="D1681" s="316" t="s">
        <v>1075</v>
      </c>
      <c r="E1681" s="411">
        <f>E1682+E1689+E1691</f>
        <v>3000000250</v>
      </c>
      <c r="F1681" s="242">
        <f>F1682+F1689+F1691</f>
        <v>2947797450</v>
      </c>
      <c r="G1681" s="336">
        <f t="shared" si="91"/>
        <v>98.259906811674441</v>
      </c>
      <c r="H1681" s="246">
        <v>100</v>
      </c>
      <c r="I1681" s="311"/>
    </row>
    <row r="1682" spans="3:9" ht="16.5" hidden="1" customHeight="1" x14ac:dyDescent="0.25">
      <c r="C1682" s="226"/>
      <c r="D1682" s="316" t="s">
        <v>1422</v>
      </c>
      <c r="E1682" s="411">
        <f>SUM(E1683:E1688)</f>
        <v>1837330250</v>
      </c>
      <c r="F1682" s="242">
        <f>SUM(F1683:F1688)</f>
        <v>1806727450</v>
      </c>
      <c r="G1682" s="336">
        <f t="shared" si="91"/>
        <v>98.334387625741201</v>
      </c>
      <c r="H1682" s="246">
        <v>100</v>
      </c>
      <c r="I1682" s="311"/>
    </row>
    <row r="1683" spans="3:9" s="115" customFormat="1" ht="16.5" hidden="1" customHeight="1" x14ac:dyDescent="0.25">
      <c r="C1683" s="222"/>
      <c r="D1683" s="412" t="s">
        <v>1423</v>
      </c>
      <c r="E1683" s="419">
        <v>620947000</v>
      </c>
      <c r="F1683" s="243">
        <v>601989200</v>
      </c>
      <c r="G1683" s="334">
        <f t="shared" si="91"/>
        <v>96.946953604735995</v>
      </c>
      <c r="H1683" s="247">
        <v>100</v>
      </c>
      <c r="I1683" s="310"/>
    </row>
    <row r="1684" spans="3:9" ht="16.5" hidden="1" customHeight="1" x14ac:dyDescent="0.25">
      <c r="C1684" s="226"/>
      <c r="D1684" s="412" t="s">
        <v>1424</v>
      </c>
      <c r="E1684" s="419">
        <v>250000000</v>
      </c>
      <c r="F1684" s="243">
        <v>250000000</v>
      </c>
      <c r="G1684" s="334">
        <f t="shared" si="91"/>
        <v>100</v>
      </c>
      <c r="H1684" s="247">
        <v>100</v>
      </c>
      <c r="I1684" s="310"/>
    </row>
    <row r="1685" spans="3:9" ht="16.5" hidden="1" customHeight="1" x14ac:dyDescent="0.25">
      <c r="C1685" s="226"/>
      <c r="D1685" s="412" t="s">
        <v>1425</v>
      </c>
      <c r="E1685" s="419">
        <v>209840000</v>
      </c>
      <c r="F1685" s="243">
        <v>198695000</v>
      </c>
      <c r="G1685" s="334">
        <f t="shared" si="91"/>
        <v>94.688810522302703</v>
      </c>
      <c r="H1685" s="247">
        <v>100</v>
      </c>
      <c r="I1685" s="310"/>
    </row>
    <row r="1686" spans="3:9" ht="16.5" hidden="1" customHeight="1" x14ac:dyDescent="0.25">
      <c r="C1686" s="226"/>
      <c r="D1686" s="412" t="s">
        <v>1426</v>
      </c>
      <c r="E1686" s="419">
        <v>127943000</v>
      </c>
      <c r="F1686" s="243">
        <v>127943000</v>
      </c>
      <c r="G1686" s="334">
        <f t="shared" si="91"/>
        <v>100</v>
      </c>
      <c r="H1686" s="247">
        <v>100</v>
      </c>
      <c r="I1686" s="310"/>
    </row>
    <row r="1687" spans="3:9" ht="16.5" hidden="1" customHeight="1" x14ac:dyDescent="0.25">
      <c r="C1687" s="226"/>
      <c r="D1687" s="412" t="s">
        <v>1427</v>
      </c>
      <c r="E1687" s="419">
        <v>322940000</v>
      </c>
      <c r="F1687" s="243">
        <v>322440000</v>
      </c>
      <c r="G1687" s="334">
        <f t="shared" si="91"/>
        <v>99.845172477859663</v>
      </c>
      <c r="H1687" s="247">
        <v>100</v>
      </c>
      <c r="I1687" s="310"/>
    </row>
    <row r="1688" spans="3:9" ht="16.5" hidden="1" customHeight="1" x14ac:dyDescent="0.25">
      <c r="C1688" s="226"/>
      <c r="D1688" s="412" t="s">
        <v>1428</v>
      </c>
      <c r="E1688" s="419">
        <v>305660250</v>
      </c>
      <c r="F1688" s="243">
        <v>305660250</v>
      </c>
      <c r="G1688" s="334">
        <f t="shared" si="91"/>
        <v>100</v>
      </c>
      <c r="H1688" s="247">
        <v>100</v>
      </c>
      <c r="I1688" s="310"/>
    </row>
    <row r="1689" spans="3:9" ht="16.5" hidden="1" customHeight="1" x14ac:dyDescent="0.25">
      <c r="C1689" s="226"/>
      <c r="D1689" s="316" t="s">
        <v>1429</v>
      </c>
      <c r="E1689" s="418">
        <f>E1690</f>
        <v>115000000</v>
      </c>
      <c r="F1689" s="242">
        <f>F1690</f>
        <v>115000000</v>
      </c>
      <c r="G1689" s="336">
        <f t="shared" si="91"/>
        <v>100</v>
      </c>
      <c r="H1689" s="246">
        <v>100</v>
      </c>
      <c r="I1689" s="311"/>
    </row>
    <row r="1690" spans="3:9" s="115" customFormat="1" ht="16.5" hidden="1" customHeight="1" x14ac:dyDescent="0.25">
      <c r="C1690" s="222"/>
      <c r="D1690" s="412" t="s">
        <v>1430</v>
      </c>
      <c r="E1690" s="419">
        <v>115000000</v>
      </c>
      <c r="F1690" s="243">
        <v>115000000</v>
      </c>
      <c r="G1690" s="334">
        <f t="shared" si="91"/>
        <v>100</v>
      </c>
      <c r="H1690" s="247">
        <v>100</v>
      </c>
      <c r="I1690" s="310"/>
    </row>
    <row r="1691" spans="3:9" ht="25.5" hidden="1" customHeight="1" x14ac:dyDescent="0.25">
      <c r="C1691" s="226"/>
      <c r="D1691" s="316" t="s">
        <v>517</v>
      </c>
      <c r="E1691" s="418">
        <f>E1692</f>
        <v>1047670000</v>
      </c>
      <c r="F1691" s="242">
        <f>F1692</f>
        <v>1026070000</v>
      </c>
      <c r="G1691" s="336">
        <f t="shared" si="91"/>
        <v>97.938282092643675</v>
      </c>
      <c r="H1691" s="246">
        <v>100</v>
      </c>
      <c r="I1691" s="311"/>
    </row>
    <row r="1692" spans="3:9" s="115" customFormat="1" ht="16.5" hidden="1" customHeight="1" x14ac:dyDescent="0.25">
      <c r="C1692" s="222"/>
      <c r="D1692" s="412" t="s">
        <v>1431</v>
      </c>
      <c r="E1692" s="419">
        <v>1047670000</v>
      </c>
      <c r="F1692" s="243">
        <v>1026070000</v>
      </c>
      <c r="G1692" s="334">
        <f t="shared" si="91"/>
        <v>97.938282092643675</v>
      </c>
      <c r="H1692" s="247">
        <v>100</v>
      </c>
      <c r="I1692" s="310"/>
    </row>
    <row r="1693" spans="3:9" ht="16.5" hidden="1" customHeight="1" x14ac:dyDescent="0.25">
      <c r="C1693" s="226"/>
      <c r="D1693" s="412"/>
      <c r="E1693" s="420"/>
      <c r="F1693" s="243"/>
      <c r="G1693" s="334"/>
      <c r="H1693" s="334"/>
      <c r="I1693" s="310"/>
    </row>
    <row r="1694" spans="3:9" ht="16.5" hidden="1" customHeight="1" x14ac:dyDescent="0.25">
      <c r="C1694" s="226"/>
      <c r="D1694" s="316" t="s">
        <v>1432</v>
      </c>
      <c r="E1694" s="421">
        <f>E1695+E1699+E1702+E1708+E1710+E1712</f>
        <v>8000000000</v>
      </c>
      <c r="F1694" s="242">
        <f>F1695+F1699+F1702+F1708+F1710+F1712</f>
        <v>7652638200</v>
      </c>
      <c r="G1694" s="336">
        <f t="shared" ref="G1694:G1713" si="93">F1694/E1694*100</f>
        <v>95.657977500000001</v>
      </c>
      <c r="H1694" s="246">
        <v>90</v>
      </c>
      <c r="I1694" s="311"/>
    </row>
    <row r="1695" spans="3:9" ht="16.5" hidden="1" customHeight="1" x14ac:dyDescent="0.25">
      <c r="C1695" s="226"/>
      <c r="D1695" s="316" t="s">
        <v>1433</v>
      </c>
      <c r="E1695" s="418">
        <f>SUM(E1696:E1698)</f>
        <v>991952225</v>
      </c>
      <c r="F1695" s="242">
        <f>SUM(F1696:F1698)</f>
        <v>991895000</v>
      </c>
      <c r="G1695" s="336">
        <f t="shared" si="93"/>
        <v>99.994231072973292</v>
      </c>
      <c r="H1695" s="246">
        <v>100</v>
      </c>
      <c r="I1695" s="311"/>
    </row>
    <row r="1696" spans="3:9" s="115" customFormat="1" ht="16.5" hidden="1" customHeight="1" x14ac:dyDescent="0.25">
      <c r="C1696" s="222"/>
      <c r="D1696" s="412" t="s">
        <v>1434</v>
      </c>
      <c r="E1696" s="419">
        <v>195700000</v>
      </c>
      <c r="F1696" s="243">
        <v>195700000</v>
      </c>
      <c r="G1696" s="334">
        <f t="shared" si="93"/>
        <v>100</v>
      </c>
      <c r="H1696" s="247">
        <v>100</v>
      </c>
      <c r="I1696" s="310"/>
    </row>
    <row r="1697" spans="3:9" ht="16.5" hidden="1" customHeight="1" x14ac:dyDescent="0.25">
      <c r="C1697" s="226"/>
      <c r="D1697" s="412" t="s">
        <v>1435</v>
      </c>
      <c r="E1697" s="419">
        <v>380100000</v>
      </c>
      <c r="F1697" s="243">
        <v>380050000</v>
      </c>
      <c r="G1697" s="334">
        <f t="shared" si="93"/>
        <v>99.986845566956063</v>
      </c>
      <c r="H1697" s="247">
        <v>100</v>
      </c>
      <c r="I1697" s="310"/>
    </row>
    <row r="1698" spans="3:9" ht="16.5" hidden="1" customHeight="1" x14ac:dyDescent="0.25">
      <c r="C1698" s="226"/>
      <c r="D1698" s="412" t="s">
        <v>1436</v>
      </c>
      <c r="E1698" s="419">
        <v>416152225</v>
      </c>
      <c r="F1698" s="243">
        <v>416145000</v>
      </c>
      <c r="G1698" s="334">
        <f t="shared" si="93"/>
        <v>99.998263856453008</v>
      </c>
      <c r="H1698" s="247">
        <v>100</v>
      </c>
      <c r="I1698" s="310"/>
    </row>
    <row r="1699" spans="3:9" ht="16.5" hidden="1" customHeight="1" x14ac:dyDescent="0.25">
      <c r="C1699" s="226"/>
      <c r="D1699" s="316" t="s">
        <v>468</v>
      </c>
      <c r="E1699" s="418">
        <f>SUM(E1700:E1701)</f>
        <v>519000000</v>
      </c>
      <c r="F1699" s="242">
        <f>SUM(F1700:F1701)</f>
        <v>408790000</v>
      </c>
      <c r="G1699" s="336">
        <f t="shared" si="93"/>
        <v>78.76493256262043</v>
      </c>
      <c r="H1699" s="246">
        <v>100</v>
      </c>
      <c r="I1699" s="311"/>
    </row>
    <row r="1700" spans="3:9" s="115" customFormat="1" ht="16.5" hidden="1" customHeight="1" x14ac:dyDescent="0.25">
      <c r="C1700" s="222"/>
      <c r="D1700" s="412" t="s">
        <v>1437</v>
      </c>
      <c r="E1700" s="419">
        <v>375000000</v>
      </c>
      <c r="F1700" s="243">
        <v>267688000</v>
      </c>
      <c r="G1700" s="334">
        <f t="shared" si="93"/>
        <v>71.383466666666664</v>
      </c>
      <c r="H1700" s="247">
        <v>100</v>
      </c>
      <c r="I1700" s="310"/>
    </row>
    <row r="1701" spans="3:9" ht="16.5" hidden="1" customHeight="1" x14ac:dyDescent="0.25">
      <c r="C1701" s="226"/>
      <c r="D1701" s="412" t="s">
        <v>1438</v>
      </c>
      <c r="E1701" s="419">
        <v>144000000</v>
      </c>
      <c r="F1701" s="243">
        <v>141102000</v>
      </c>
      <c r="G1701" s="334">
        <f t="shared" si="93"/>
        <v>97.987500000000011</v>
      </c>
      <c r="H1701" s="247">
        <v>100</v>
      </c>
      <c r="I1701" s="310"/>
    </row>
    <row r="1702" spans="3:9" ht="16.5" hidden="1" customHeight="1" x14ac:dyDescent="0.25">
      <c r="C1702" s="226"/>
      <c r="D1702" s="316" t="s">
        <v>496</v>
      </c>
      <c r="E1702" s="418">
        <f>SUM(E1703:E1707)</f>
        <v>3882124000</v>
      </c>
      <c r="F1702" s="242">
        <f>SUM(F1703:F1707)</f>
        <v>3666267000</v>
      </c>
      <c r="G1702" s="336">
        <f t="shared" si="93"/>
        <v>94.439719081616147</v>
      </c>
      <c r="H1702" s="246">
        <v>80</v>
      </c>
      <c r="I1702" s="311"/>
    </row>
    <row r="1703" spans="3:9" s="115" customFormat="1" ht="16.5" hidden="1" customHeight="1" x14ac:dyDescent="0.25">
      <c r="C1703" s="222"/>
      <c r="D1703" s="412" t="s">
        <v>775</v>
      </c>
      <c r="E1703" s="419">
        <v>246200000</v>
      </c>
      <c r="F1703" s="243">
        <v>246100000</v>
      </c>
      <c r="G1703" s="334">
        <f t="shared" si="93"/>
        <v>99.959382615759537</v>
      </c>
      <c r="H1703" s="247">
        <v>100</v>
      </c>
      <c r="I1703" s="310"/>
    </row>
    <row r="1704" spans="3:9" ht="16.5" hidden="1" customHeight="1" x14ac:dyDescent="0.25">
      <c r="C1704" s="226"/>
      <c r="D1704" s="412" t="s">
        <v>1439</v>
      </c>
      <c r="E1704" s="419">
        <v>205590000</v>
      </c>
      <c r="F1704" s="243">
        <v>107060000</v>
      </c>
      <c r="G1704" s="334">
        <f t="shared" si="93"/>
        <v>52.074517243056576</v>
      </c>
      <c r="H1704" s="247">
        <v>100</v>
      </c>
      <c r="I1704" s="310"/>
    </row>
    <row r="1705" spans="3:9" ht="16.5" hidden="1" customHeight="1" x14ac:dyDescent="0.25">
      <c r="C1705" s="226"/>
      <c r="D1705" s="412" t="s">
        <v>1440</v>
      </c>
      <c r="E1705" s="419">
        <v>1111524000</v>
      </c>
      <c r="F1705" s="243">
        <v>995297000</v>
      </c>
      <c r="G1705" s="334">
        <f t="shared" si="93"/>
        <v>89.543455651879768</v>
      </c>
      <c r="H1705" s="247">
        <v>50</v>
      </c>
      <c r="I1705" s="310"/>
    </row>
    <row r="1706" spans="3:9" ht="16.5" hidden="1" customHeight="1" x14ac:dyDescent="0.25">
      <c r="C1706" s="226"/>
      <c r="D1706" s="412" t="s">
        <v>1441</v>
      </c>
      <c r="E1706" s="419">
        <v>1284750000</v>
      </c>
      <c r="F1706" s="243">
        <v>1284650000</v>
      </c>
      <c r="G1706" s="334">
        <f t="shared" si="93"/>
        <v>99.992216384510598</v>
      </c>
      <c r="H1706" s="247">
        <v>100</v>
      </c>
      <c r="I1706" s="310"/>
    </row>
    <row r="1707" spans="3:9" ht="16.5" hidden="1" customHeight="1" x14ac:dyDescent="0.25">
      <c r="C1707" s="226"/>
      <c r="D1707" s="412" t="s">
        <v>1442</v>
      </c>
      <c r="E1707" s="419">
        <v>1034060000</v>
      </c>
      <c r="F1707" s="243">
        <v>1033160000</v>
      </c>
      <c r="G1707" s="334">
        <f t="shared" si="93"/>
        <v>99.912964431464317</v>
      </c>
      <c r="H1707" s="247">
        <v>80</v>
      </c>
      <c r="I1707" s="310"/>
    </row>
    <row r="1708" spans="3:9" ht="16.5" hidden="1" customHeight="1" x14ac:dyDescent="0.25">
      <c r="C1708" s="226"/>
      <c r="D1708" s="316" t="s">
        <v>512</v>
      </c>
      <c r="E1708" s="418">
        <f>E1709</f>
        <v>305708775</v>
      </c>
      <c r="F1708" s="242">
        <f>F1709</f>
        <v>304358000</v>
      </c>
      <c r="G1708" s="336">
        <f t="shared" si="93"/>
        <v>99.558149745619829</v>
      </c>
      <c r="H1708" s="246">
        <v>100</v>
      </c>
      <c r="I1708" s="311"/>
    </row>
    <row r="1709" spans="3:9" ht="16.5" hidden="1" customHeight="1" x14ac:dyDescent="0.25">
      <c r="C1709" s="226"/>
      <c r="D1709" s="412" t="s">
        <v>1443</v>
      </c>
      <c r="E1709" s="419">
        <v>305708775</v>
      </c>
      <c r="F1709" s="243">
        <v>304358000</v>
      </c>
      <c r="G1709" s="334">
        <f t="shared" si="93"/>
        <v>99.558149745619829</v>
      </c>
      <c r="H1709" s="247">
        <v>100</v>
      </c>
      <c r="I1709" s="310"/>
    </row>
    <row r="1710" spans="3:9" ht="16.5" hidden="1" customHeight="1" x14ac:dyDescent="0.25">
      <c r="C1710" s="226"/>
      <c r="D1710" s="316" t="s">
        <v>517</v>
      </c>
      <c r="E1710" s="418">
        <f>E1711</f>
        <v>2163615000</v>
      </c>
      <c r="F1710" s="242">
        <f>F1711</f>
        <v>2143978200</v>
      </c>
      <c r="G1710" s="336">
        <f t="shared" si="93"/>
        <v>99.09240784520351</v>
      </c>
      <c r="H1710" s="246">
        <v>100</v>
      </c>
      <c r="I1710" s="311"/>
    </row>
    <row r="1711" spans="3:9" s="115" customFormat="1" ht="16.5" hidden="1" customHeight="1" x14ac:dyDescent="0.25">
      <c r="C1711" s="222"/>
      <c r="D1711" s="412" t="s">
        <v>1431</v>
      </c>
      <c r="E1711" s="419">
        <v>2163615000</v>
      </c>
      <c r="F1711" s="243">
        <v>2143978200</v>
      </c>
      <c r="G1711" s="334">
        <f t="shared" si="93"/>
        <v>99.09240784520351</v>
      </c>
      <c r="H1711" s="247">
        <v>100</v>
      </c>
      <c r="I1711" s="310"/>
    </row>
    <row r="1712" spans="3:9" ht="16.5" hidden="1" customHeight="1" x14ac:dyDescent="0.25">
      <c r="C1712" s="226"/>
      <c r="D1712" s="316" t="s">
        <v>1444</v>
      </c>
      <c r="E1712" s="418">
        <f>E1713</f>
        <v>137600000</v>
      </c>
      <c r="F1712" s="242">
        <f>F1713</f>
        <v>137350000</v>
      </c>
      <c r="G1712" s="336">
        <f t="shared" si="93"/>
        <v>99.818313953488371</v>
      </c>
      <c r="H1712" s="246">
        <v>100</v>
      </c>
      <c r="I1712" s="311"/>
    </row>
    <row r="1713" spans="3:9" s="115" customFormat="1" ht="16.5" hidden="1" customHeight="1" x14ac:dyDescent="0.25">
      <c r="C1713" s="222"/>
      <c r="D1713" s="412" t="s">
        <v>1445</v>
      </c>
      <c r="E1713" s="419">
        <v>137600000</v>
      </c>
      <c r="F1713" s="243">
        <v>137350000</v>
      </c>
      <c r="G1713" s="334">
        <f t="shared" si="93"/>
        <v>99.818313953488371</v>
      </c>
      <c r="H1713" s="247">
        <v>100</v>
      </c>
      <c r="I1713" s="310"/>
    </row>
    <row r="1714" spans="3:9" ht="16.5" hidden="1" customHeight="1" x14ac:dyDescent="0.25">
      <c r="C1714" s="226"/>
      <c r="D1714" s="118"/>
      <c r="E1714" s="116"/>
      <c r="F1714" s="108"/>
      <c r="G1714" s="117"/>
      <c r="H1714" s="117"/>
      <c r="I1714" s="111"/>
    </row>
    <row r="1715" spans="3:9" ht="16.5" hidden="1" customHeight="1" x14ac:dyDescent="0.25">
      <c r="C1715" s="226"/>
      <c r="D1715" s="316" t="s">
        <v>1446</v>
      </c>
      <c r="E1715" s="421">
        <f>E1716+E1718+E1720</f>
        <v>3000000000</v>
      </c>
      <c r="F1715" s="242">
        <f>F1716+F1718+F1720</f>
        <v>2484811095</v>
      </c>
      <c r="G1715" s="336">
        <f t="shared" ref="G1715:G1722" si="94">F1715/E1715*100</f>
        <v>82.827036499999991</v>
      </c>
      <c r="H1715" s="246">
        <v>85</v>
      </c>
      <c r="I1715" s="111"/>
    </row>
    <row r="1716" spans="3:9" s="115" customFormat="1" ht="16.5" hidden="1" customHeight="1" x14ac:dyDescent="0.25">
      <c r="C1716" s="222"/>
      <c r="D1716" s="316" t="s">
        <v>766</v>
      </c>
      <c r="E1716" s="411">
        <f>E1717</f>
        <v>438073945</v>
      </c>
      <c r="F1716" s="242">
        <f>F1717</f>
        <v>438073945</v>
      </c>
      <c r="G1716" s="336">
        <f t="shared" si="94"/>
        <v>100</v>
      </c>
      <c r="H1716" s="246">
        <v>100</v>
      </c>
      <c r="I1716" s="121"/>
    </row>
    <row r="1717" spans="3:9" s="115" customFormat="1" ht="16.5" hidden="1" customHeight="1" x14ac:dyDescent="0.25">
      <c r="C1717" s="222"/>
      <c r="D1717" s="412" t="s">
        <v>1447</v>
      </c>
      <c r="E1717" s="413">
        <v>438073945</v>
      </c>
      <c r="F1717" s="243">
        <v>438073945</v>
      </c>
      <c r="G1717" s="334">
        <f t="shared" si="94"/>
        <v>100</v>
      </c>
      <c r="H1717" s="247">
        <v>100</v>
      </c>
      <c r="I1717" s="121"/>
    </row>
    <row r="1718" spans="3:9" s="115" customFormat="1" ht="16.5" hidden="1" customHeight="1" x14ac:dyDescent="0.25">
      <c r="C1718" s="222"/>
      <c r="D1718" s="316" t="s">
        <v>418</v>
      </c>
      <c r="E1718" s="411">
        <f>E1719</f>
        <v>1051323555</v>
      </c>
      <c r="F1718" s="242">
        <f>F1719</f>
        <v>852507000</v>
      </c>
      <c r="G1718" s="336">
        <f t="shared" si="94"/>
        <v>81.088927946639615</v>
      </c>
      <c r="H1718" s="246">
        <v>85</v>
      </c>
      <c r="I1718" s="121"/>
    </row>
    <row r="1719" spans="3:9" s="115" customFormat="1" ht="16.5" hidden="1" customHeight="1" x14ac:dyDescent="0.25">
      <c r="C1719" s="222"/>
      <c r="D1719" s="412" t="s">
        <v>1448</v>
      </c>
      <c r="E1719" s="413">
        <v>1051323555</v>
      </c>
      <c r="F1719" s="422">
        <v>852507000</v>
      </c>
      <c r="G1719" s="334">
        <f t="shared" si="94"/>
        <v>81.088927946639615</v>
      </c>
      <c r="H1719" s="247">
        <v>85</v>
      </c>
      <c r="I1719" s="121"/>
    </row>
    <row r="1720" spans="3:9" s="115" customFormat="1" ht="16.5" hidden="1" customHeight="1" x14ac:dyDescent="0.25">
      <c r="C1720" s="222"/>
      <c r="D1720" s="316" t="s">
        <v>768</v>
      </c>
      <c r="E1720" s="411">
        <f>SUM(E1721:E1722)</f>
        <v>1510602500</v>
      </c>
      <c r="F1720" s="242">
        <f>SUM(F1721:F1722)</f>
        <v>1194230150</v>
      </c>
      <c r="G1720" s="336">
        <f t="shared" si="94"/>
        <v>79.056545318838005</v>
      </c>
      <c r="H1720" s="246">
        <v>85</v>
      </c>
      <c r="I1720" s="121"/>
    </row>
    <row r="1721" spans="3:9" ht="16.5" hidden="1" customHeight="1" x14ac:dyDescent="0.25">
      <c r="C1721" s="226"/>
      <c r="D1721" s="412" t="s">
        <v>1449</v>
      </c>
      <c r="E1721" s="413">
        <v>1366102500</v>
      </c>
      <c r="F1721" s="243">
        <v>1179130150</v>
      </c>
      <c r="G1721" s="334">
        <f t="shared" si="94"/>
        <v>86.313446465400659</v>
      </c>
      <c r="H1721" s="247">
        <v>90</v>
      </c>
      <c r="I1721" s="111"/>
    </row>
    <row r="1722" spans="3:9" ht="16.5" hidden="1" customHeight="1" x14ac:dyDescent="0.25">
      <c r="C1722" s="226"/>
      <c r="D1722" s="412" t="s">
        <v>1450</v>
      </c>
      <c r="E1722" s="413">
        <v>144500000</v>
      </c>
      <c r="F1722" s="243">
        <v>15100000</v>
      </c>
      <c r="G1722" s="334">
        <f t="shared" si="94"/>
        <v>10.449826989619378</v>
      </c>
      <c r="H1722" s="247">
        <v>35</v>
      </c>
      <c r="I1722" s="111"/>
    </row>
    <row r="1723" spans="3:9" ht="16.5" hidden="1" customHeight="1" x14ac:dyDescent="0.25">
      <c r="C1723" s="226"/>
      <c r="D1723" s="249"/>
      <c r="E1723" s="116"/>
      <c r="F1723" s="108"/>
      <c r="G1723" s="117"/>
      <c r="H1723" s="117"/>
      <c r="I1723" s="111"/>
    </row>
    <row r="1724" spans="3:9" ht="16.5" hidden="1" customHeight="1" x14ac:dyDescent="0.25">
      <c r="C1724" s="226"/>
      <c r="D1724" s="316" t="s">
        <v>1127</v>
      </c>
      <c r="E1724" s="421">
        <f>E1725+E1727+E1730</f>
        <v>5474030100</v>
      </c>
      <c r="F1724" s="242">
        <f>F1725+F1727+F1730</f>
        <v>4119137340</v>
      </c>
      <c r="G1724" s="336">
        <f t="shared" ref="G1724:G1732" si="95">F1724/E1724*100</f>
        <v>75.248715566982355</v>
      </c>
      <c r="H1724" s="246">
        <v>80</v>
      </c>
      <c r="I1724" s="111"/>
    </row>
    <row r="1725" spans="3:9" s="115" customFormat="1" ht="18.75" hidden="1" customHeight="1" x14ac:dyDescent="0.25">
      <c r="C1725" s="222"/>
      <c r="D1725" s="316" t="s">
        <v>1451</v>
      </c>
      <c r="E1725" s="411">
        <f>E1726</f>
        <v>4150000000</v>
      </c>
      <c r="F1725" s="242">
        <f>F1726</f>
        <v>3538179840</v>
      </c>
      <c r="G1725" s="336">
        <f t="shared" si="95"/>
        <v>85.257345542168679</v>
      </c>
      <c r="H1725" s="246">
        <v>85</v>
      </c>
      <c r="I1725" s="121"/>
    </row>
    <row r="1726" spans="3:9" s="115" customFormat="1" ht="16.5" hidden="1" customHeight="1" x14ac:dyDescent="0.25">
      <c r="C1726" s="222"/>
      <c r="D1726" s="412" t="s">
        <v>1452</v>
      </c>
      <c r="E1726" s="413">
        <v>4150000000</v>
      </c>
      <c r="F1726" s="243">
        <v>3538179840</v>
      </c>
      <c r="G1726" s="334">
        <f t="shared" si="95"/>
        <v>85.257345542168679</v>
      </c>
      <c r="H1726" s="247">
        <v>85</v>
      </c>
      <c r="I1726" s="121"/>
    </row>
    <row r="1727" spans="3:9" s="115" customFormat="1" ht="16.5" hidden="1" customHeight="1" x14ac:dyDescent="0.25">
      <c r="C1727" s="222"/>
      <c r="D1727" s="316" t="s">
        <v>1453</v>
      </c>
      <c r="E1727" s="411">
        <f>SUM(E1728:E1729)</f>
        <v>800000000</v>
      </c>
      <c r="F1727" s="242">
        <f t="shared" ref="F1727" si="96">SUM(F1728:F1729)</f>
        <v>300150000</v>
      </c>
      <c r="G1727" s="336">
        <f t="shared" si="95"/>
        <v>37.518749999999997</v>
      </c>
      <c r="H1727" s="246">
        <v>50</v>
      </c>
      <c r="I1727" s="121"/>
    </row>
    <row r="1728" spans="3:9" ht="16.5" hidden="1" customHeight="1" x14ac:dyDescent="0.25">
      <c r="C1728" s="226"/>
      <c r="D1728" s="412" t="s">
        <v>1454</v>
      </c>
      <c r="E1728" s="413">
        <v>400000000</v>
      </c>
      <c r="F1728" s="243">
        <v>271750000</v>
      </c>
      <c r="G1728" s="334">
        <f t="shared" si="95"/>
        <v>67.9375</v>
      </c>
      <c r="H1728" s="247">
        <v>70</v>
      </c>
      <c r="I1728" s="111"/>
    </row>
    <row r="1729" spans="3:9" ht="16.5" hidden="1" customHeight="1" x14ac:dyDescent="0.25">
      <c r="C1729" s="226"/>
      <c r="D1729" s="412" t="s">
        <v>1455</v>
      </c>
      <c r="E1729" s="413">
        <v>400000000</v>
      </c>
      <c r="F1729" s="243">
        <v>28400000</v>
      </c>
      <c r="G1729" s="334">
        <f t="shared" si="95"/>
        <v>7.1</v>
      </c>
      <c r="H1729" s="247">
        <v>30</v>
      </c>
      <c r="I1729" s="111"/>
    </row>
    <row r="1730" spans="3:9" ht="16.5" hidden="1" customHeight="1" x14ac:dyDescent="0.25">
      <c r="C1730" s="226"/>
      <c r="D1730" s="316" t="s">
        <v>1456</v>
      </c>
      <c r="E1730" s="411">
        <f>SUM(E1731:E1732)</f>
        <v>524030100</v>
      </c>
      <c r="F1730" s="242">
        <f t="shared" ref="F1730" si="97">SUM(F1731:F1732)</f>
        <v>280807500</v>
      </c>
      <c r="G1730" s="336">
        <f t="shared" si="95"/>
        <v>53.586139422143887</v>
      </c>
      <c r="H1730" s="246">
        <v>70</v>
      </c>
      <c r="I1730" s="111"/>
    </row>
    <row r="1731" spans="3:9" ht="16.5" hidden="1" customHeight="1" x14ac:dyDescent="0.25">
      <c r="C1731" s="226"/>
      <c r="D1731" s="412" t="s">
        <v>1457</v>
      </c>
      <c r="E1731" s="413">
        <v>124030100</v>
      </c>
      <c r="F1731" s="242">
        <v>0</v>
      </c>
      <c r="G1731" s="334">
        <f t="shared" si="95"/>
        <v>0</v>
      </c>
      <c r="H1731" s="247">
        <v>0</v>
      </c>
      <c r="I1731" s="111"/>
    </row>
    <row r="1732" spans="3:9" ht="16.5" hidden="1" customHeight="1" x14ac:dyDescent="0.25">
      <c r="C1732" s="226"/>
      <c r="D1732" s="412" t="s">
        <v>1458</v>
      </c>
      <c r="E1732" s="413">
        <v>400000000</v>
      </c>
      <c r="F1732" s="243">
        <v>280807500</v>
      </c>
      <c r="G1732" s="334">
        <f t="shared" si="95"/>
        <v>70.201875000000001</v>
      </c>
      <c r="H1732" s="247">
        <v>70</v>
      </c>
      <c r="I1732" s="111"/>
    </row>
    <row r="1733" spans="3:9" ht="7.5" hidden="1" customHeight="1" x14ac:dyDescent="0.25">
      <c r="C1733" s="226"/>
      <c r="D1733" s="412"/>
      <c r="E1733" s="413"/>
      <c r="F1733" s="242"/>
      <c r="G1733" s="334"/>
      <c r="H1733" s="247"/>
      <c r="I1733" s="111"/>
    </row>
    <row r="1734" spans="3:9" ht="16.5" hidden="1" customHeight="1" x14ac:dyDescent="0.25">
      <c r="C1734" s="226"/>
      <c r="D1734" s="316" t="s">
        <v>1459</v>
      </c>
      <c r="E1734" s="421">
        <f t="shared" ref="E1734:F1735" si="98">E1735</f>
        <v>8481301000</v>
      </c>
      <c r="F1734" s="242">
        <f t="shared" si="98"/>
        <v>8354282625</v>
      </c>
      <c r="G1734" s="336">
        <f>F1734/E1734*100</f>
        <v>98.502371570116424</v>
      </c>
      <c r="H1734" s="246">
        <v>98</v>
      </c>
      <c r="I1734" s="111"/>
    </row>
    <row r="1735" spans="3:9" ht="16.5" hidden="1" customHeight="1" x14ac:dyDescent="0.25">
      <c r="C1735" s="226"/>
      <c r="D1735" s="316" t="s">
        <v>729</v>
      </c>
      <c r="E1735" s="418">
        <f t="shared" si="98"/>
        <v>8481301000</v>
      </c>
      <c r="F1735" s="242">
        <f t="shared" si="98"/>
        <v>8354282625</v>
      </c>
      <c r="G1735" s="336">
        <f>F1735/E1735*100</f>
        <v>98.502371570116424</v>
      </c>
      <c r="H1735" s="246">
        <v>98</v>
      </c>
      <c r="I1735" s="111"/>
    </row>
    <row r="1736" spans="3:9" ht="16.5" hidden="1" customHeight="1" x14ac:dyDescent="0.25">
      <c r="C1736" s="226"/>
      <c r="D1736" s="412" t="s">
        <v>1460</v>
      </c>
      <c r="E1736" s="419">
        <v>8481301000</v>
      </c>
      <c r="F1736" s="243">
        <v>8354282625</v>
      </c>
      <c r="G1736" s="334">
        <f>F1736/E1736*100</f>
        <v>98.502371570116424</v>
      </c>
      <c r="H1736" s="247">
        <v>98</v>
      </c>
      <c r="I1736" s="111"/>
    </row>
    <row r="1737" spans="3:9" ht="7.5" hidden="1" customHeight="1" x14ac:dyDescent="0.25">
      <c r="C1737" s="226"/>
      <c r="D1737" s="412"/>
      <c r="E1737" s="420"/>
      <c r="F1737" s="243"/>
      <c r="G1737" s="334"/>
      <c r="H1737" s="247"/>
      <c r="I1737" s="111"/>
    </row>
    <row r="1738" spans="3:9" s="115" customFormat="1" ht="16.5" hidden="1" customHeight="1" x14ac:dyDescent="0.25">
      <c r="C1738" s="222"/>
      <c r="D1738" s="316" t="s">
        <v>1461</v>
      </c>
      <c r="E1738" s="421">
        <f>E1739</f>
        <v>3800000000</v>
      </c>
      <c r="F1738" s="242">
        <f t="shared" ref="F1738:F1739" si="99">F1739</f>
        <v>3794250000</v>
      </c>
      <c r="G1738" s="336">
        <f>F1738/E1738*100</f>
        <v>99.848684210526315</v>
      </c>
      <c r="H1738" s="246">
        <v>100</v>
      </c>
      <c r="I1738" s="121"/>
    </row>
    <row r="1739" spans="3:9" ht="16.5" hidden="1" customHeight="1" x14ac:dyDescent="0.25">
      <c r="C1739" s="226"/>
      <c r="D1739" s="316" t="s">
        <v>1462</v>
      </c>
      <c r="E1739" s="418">
        <f>E1740</f>
        <v>3800000000</v>
      </c>
      <c r="F1739" s="242">
        <f t="shared" si="99"/>
        <v>3794250000</v>
      </c>
      <c r="G1739" s="336">
        <f>F1739/E1739*100</f>
        <v>99.848684210526315</v>
      </c>
      <c r="H1739" s="246">
        <v>100</v>
      </c>
      <c r="I1739" s="111"/>
    </row>
    <row r="1740" spans="3:9" ht="16.5" hidden="1" customHeight="1" x14ac:dyDescent="0.25">
      <c r="C1740" s="226"/>
      <c r="D1740" s="412" t="s">
        <v>1463</v>
      </c>
      <c r="E1740" s="419">
        <v>3800000000</v>
      </c>
      <c r="F1740" s="243">
        <v>3794250000</v>
      </c>
      <c r="G1740" s="334">
        <f>F1740/E1740*100</f>
        <v>99.848684210526315</v>
      </c>
      <c r="H1740" s="247">
        <v>100</v>
      </c>
      <c r="I1740" s="111"/>
    </row>
    <row r="1741" spans="3:9" ht="7.5" hidden="1" customHeight="1" x14ac:dyDescent="0.25">
      <c r="C1741" s="226"/>
      <c r="D1741" s="316"/>
      <c r="E1741" s="420"/>
      <c r="F1741" s="243"/>
      <c r="G1741" s="334"/>
      <c r="H1741" s="247"/>
      <c r="I1741" s="111"/>
    </row>
    <row r="1742" spans="3:9" s="115" customFormat="1" ht="16.5" hidden="1" customHeight="1" x14ac:dyDescent="0.25">
      <c r="C1742" s="222"/>
      <c r="D1742" s="316" t="s">
        <v>1417</v>
      </c>
      <c r="E1742" s="421">
        <f>E1743</f>
        <v>2500000000</v>
      </c>
      <c r="F1742" s="242">
        <f t="shared" ref="F1742" si="100">F1743</f>
        <v>2023650050</v>
      </c>
      <c r="G1742" s="336">
        <f>F1742/E1742*100</f>
        <v>80.946001999999993</v>
      </c>
      <c r="H1742" s="246">
        <v>85</v>
      </c>
      <c r="I1742" s="121"/>
    </row>
    <row r="1743" spans="3:9" ht="16.5" hidden="1" customHeight="1" x14ac:dyDescent="0.25">
      <c r="C1743" s="226"/>
      <c r="D1743" s="316" t="s">
        <v>1464</v>
      </c>
      <c r="E1743" s="418">
        <f>E1744</f>
        <v>2500000000</v>
      </c>
      <c r="F1743" s="242">
        <f>F1744</f>
        <v>2023650050</v>
      </c>
      <c r="G1743" s="336">
        <f>F1743/E1743*100</f>
        <v>80.946001999999993</v>
      </c>
      <c r="H1743" s="246">
        <v>85</v>
      </c>
      <c r="I1743" s="111"/>
    </row>
    <row r="1744" spans="3:9" ht="16.5" hidden="1" customHeight="1" x14ac:dyDescent="0.25">
      <c r="C1744" s="226"/>
      <c r="D1744" s="412" t="s">
        <v>1465</v>
      </c>
      <c r="E1744" s="419">
        <v>2500000000</v>
      </c>
      <c r="F1744" s="243">
        <v>2023650050</v>
      </c>
      <c r="G1744" s="334">
        <f>F1744/E1744*100</f>
        <v>80.946001999999993</v>
      </c>
      <c r="H1744" s="247">
        <v>85</v>
      </c>
      <c r="I1744" s="111"/>
    </row>
    <row r="1745" spans="3:9" ht="7.5" hidden="1" customHeight="1" x14ac:dyDescent="0.25">
      <c r="C1745" s="226"/>
      <c r="D1745" s="249"/>
      <c r="E1745" s="116"/>
      <c r="F1745" s="108"/>
      <c r="G1745" s="117"/>
      <c r="H1745" s="117"/>
      <c r="I1745" s="111"/>
    </row>
    <row r="1746" spans="3:9" ht="16.5" hidden="1" customHeight="1" x14ac:dyDescent="0.25">
      <c r="C1746" s="226"/>
      <c r="D1746" s="316" t="s">
        <v>1466</v>
      </c>
      <c r="E1746" s="421">
        <f>+E1747</f>
        <v>569100000</v>
      </c>
      <c r="F1746" s="242">
        <f>+F1747</f>
        <v>435570000</v>
      </c>
      <c r="G1746" s="336">
        <f>F1746/E1746*100</f>
        <v>76.536636794939383</v>
      </c>
      <c r="H1746" s="246">
        <v>100</v>
      </c>
      <c r="I1746" s="111"/>
    </row>
    <row r="1747" spans="3:9" s="115" customFormat="1" ht="16.5" hidden="1" customHeight="1" x14ac:dyDescent="0.25">
      <c r="C1747" s="222"/>
      <c r="D1747" s="316" t="s">
        <v>792</v>
      </c>
      <c r="E1747" s="411">
        <f>SUM(E1748:E1750)</f>
        <v>569100000</v>
      </c>
      <c r="F1747" s="242">
        <f>SUM(F1748:F1750)</f>
        <v>435570000</v>
      </c>
      <c r="G1747" s="336">
        <f>F1747/E1747*100</f>
        <v>76.536636794939383</v>
      </c>
      <c r="H1747" s="246">
        <v>100</v>
      </c>
      <c r="I1747" s="121"/>
    </row>
    <row r="1748" spans="3:9" ht="16.5" hidden="1" customHeight="1" x14ac:dyDescent="0.25">
      <c r="C1748" s="226"/>
      <c r="D1748" s="412" t="s">
        <v>1467</v>
      </c>
      <c r="E1748" s="413">
        <v>250000000</v>
      </c>
      <c r="F1748" s="243">
        <v>171390000</v>
      </c>
      <c r="G1748" s="334">
        <f>F1748/E1748*100</f>
        <v>68.555999999999997</v>
      </c>
      <c r="H1748" s="247">
        <v>100</v>
      </c>
      <c r="I1748" s="111"/>
    </row>
    <row r="1749" spans="3:9" ht="30.75" hidden="1" customHeight="1" x14ac:dyDescent="0.25">
      <c r="C1749" s="226"/>
      <c r="D1749" s="412" t="s">
        <v>1468</v>
      </c>
      <c r="E1749" s="413">
        <v>214100000</v>
      </c>
      <c r="F1749" s="243">
        <v>204430000</v>
      </c>
      <c r="G1749" s="334">
        <f>F1749/E1749*100</f>
        <v>95.483418963101357</v>
      </c>
      <c r="H1749" s="247">
        <v>100</v>
      </c>
      <c r="I1749" s="111"/>
    </row>
    <row r="1750" spans="3:9" ht="16.5" hidden="1" customHeight="1" x14ac:dyDescent="0.25">
      <c r="C1750" s="226"/>
      <c r="D1750" s="412" t="s">
        <v>1469</v>
      </c>
      <c r="E1750" s="413">
        <v>105000000</v>
      </c>
      <c r="F1750" s="243">
        <v>59750000</v>
      </c>
      <c r="G1750" s="334">
        <f>F1750/E1750*100</f>
        <v>56.904761904761905</v>
      </c>
      <c r="H1750" s="247">
        <v>100</v>
      </c>
      <c r="I1750" s="111"/>
    </row>
    <row r="1751" spans="3:9" ht="16.5" hidden="1" customHeight="1" x14ac:dyDescent="0.25">
      <c r="C1751" s="226"/>
      <c r="D1751" s="118"/>
      <c r="E1751" s="116"/>
      <c r="F1751" s="108"/>
      <c r="G1751" s="117"/>
      <c r="H1751" s="117"/>
      <c r="I1751" s="111"/>
    </row>
    <row r="1752" spans="3:9" ht="16.5" hidden="1" customHeight="1" x14ac:dyDescent="0.25">
      <c r="C1752" s="226"/>
      <c r="D1752" s="249" t="s">
        <v>1152</v>
      </c>
      <c r="E1752" s="195">
        <f>E1753</f>
        <v>300000000</v>
      </c>
      <c r="F1752" s="242">
        <f>F1753</f>
        <v>299440000</v>
      </c>
      <c r="G1752" s="336">
        <f>F1752/E1752*100</f>
        <v>99.813333333333333</v>
      </c>
      <c r="H1752" s="246">
        <v>100</v>
      </c>
      <c r="I1752" s="111"/>
    </row>
    <row r="1753" spans="3:9" s="115" customFormat="1" ht="30" hidden="1" customHeight="1" x14ac:dyDescent="0.25">
      <c r="C1753" s="222"/>
      <c r="D1753" s="249" t="s">
        <v>1470</v>
      </c>
      <c r="E1753" s="195">
        <f>SUM(E1754:E1755)</f>
        <v>300000000</v>
      </c>
      <c r="F1753" s="242">
        <f>SUM(F1754:F1755)</f>
        <v>299440000</v>
      </c>
      <c r="G1753" s="336">
        <f>F1753/E1753*100</f>
        <v>99.813333333333333</v>
      </c>
      <c r="H1753" s="246">
        <v>100</v>
      </c>
      <c r="I1753" s="121"/>
    </row>
    <row r="1754" spans="3:9" ht="16.5" hidden="1" customHeight="1" x14ac:dyDescent="0.25">
      <c r="C1754" s="226"/>
      <c r="D1754" s="118" t="s">
        <v>1471</v>
      </c>
      <c r="E1754" s="116">
        <v>61650000</v>
      </c>
      <c r="F1754" s="243">
        <v>61370000</v>
      </c>
      <c r="G1754" s="334">
        <f>F1754/E1754*100</f>
        <v>99.545823195458226</v>
      </c>
      <c r="H1754" s="247">
        <v>100</v>
      </c>
      <c r="I1754" s="111"/>
    </row>
    <row r="1755" spans="3:9" ht="16.5" hidden="1" customHeight="1" x14ac:dyDescent="0.25">
      <c r="C1755" s="226"/>
      <c r="D1755" s="118" t="s">
        <v>1472</v>
      </c>
      <c r="E1755" s="116">
        <v>238350000</v>
      </c>
      <c r="F1755" s="243">
        <v>238070000</v>
      </c>
      <c r="G1755" s="334">
        <f>F1755/E1755*100</f>
        <v>99.882525697503667</v>
      </c>
      <c r="H1755" s="247">
        <v>100</v>
      </c>
      <c r="I1755" s="111"/>
    </row>
    <row r="1756" spans="3:9" ht="16.5" hidden="1" customHeight="1" x14ac:dyDescent="0.25">
      <c r="C1756" s="226"/>
      <c r="D1756" s="118"/>
      <c r="E1756" s="116"/>
      <c r="F1756" s="108"/>
      <c r="G1756" s="117"/>
      <c r="H1756" s="117"/>
      <c r="I1756" s="111"/>
    </row>
    <row r="1757" spans="3:9" ht="16.5" hidden="1" customHeight="1" x14ac:dyDescent="0.25">
      <c r="C1757" s="226"/>
      <c r="D1757" s="316" t="s">
        <v>1473</v>
      </c>
      <c r="E1757" s="421">
        <f>E1758+E1766+E1778</f>
        <v>5679390300</v>
      </c>
      <c r="F1757" s="242">
        <f>F1758+F1766+F1778</f>
        <v>5658865000</v>
      </c>
      <c r="G1757" s="336">
        <f t="shared" ref="G1757:G1764" si="101">F1757/E1757*100</f>
        <v>99.638600291302396</v>
      </c>
      <c r="H1757" s="246">
        <v>100</v>
      </c>
      <c r="I1757" s="111"/>
    </row>
    <row r="1758" spans="3:9" ht="16.5" hidden="1" customHeight="1" x14ac:dyDescent="0.25">
      <c r="C1758" s="226"/>
      <c r="D1758" s="316" t="s">
        <v>1119</v>
      </c>
      <c r="E1758" s="421">
        <f>E1759+E1762</f>
        <v>322000000</v>
      </c>
      <c r="F1758" s="242">
        <f>F1759+F1762</f>
        <v>309205000</v>
      </c>
      <c r="G1758" s="336">
        <f t="shared" si="101"/>
        <v>96.026397515527947</v>
      </c>
      <c r="H1758" s="246">
        <v>100</v>
      </c>
      <c r="I1758" s="111"/>
    </row>
    <row r="1759" spans="3:9" s="115" customFormat="1" ht="16.5" hidden="1" customHeight="1" x14ac:dyDescent="0.25">
      <c r="C1759" s="222"/>
      <c r="D1759" s="316" t="s">
        <v>299</v>
      </c>
      <c r="E1759" s="411">
        <f>SUM(E1760:E1761)</f>
        <v>175000000</v>
      </c>
      <c r="F1759" s="242">
        <f>SUM(F1760:F1761)</f>
        <v>162205000</v>
      </c>
      <c r="G1759" s="336">
        <f t="shared" si="101"/>
        <v>92.688571428571436</v>
      </c>
      <c r="H1759" s="246">
        <v>100</v>
      </c>
      <c r="I1759" s="121"/>
    </row>
    <row r="1760" spans="3:9" ht="16.5" hidden="1" customHeight="1" x14ac:dyDescent="0.25">
      <c r="C1760" s="226"/>
      <c r="D1760" s="412" t="s">
        <v>1474</v>
      </c>
      <c r="E1760" s="413">
        <v>125000000</v>
      </c>
      <c r="F1760" s="243">
        <v>125000000</v>
      </c>
      <c r="G1760" s="334">
        <f t="shared" si="101"/>
        <v>100</v>
      </c>
      <c r="H1760" s="247">
        <v>100</v>
      </c>
      <c r="I1760" s="111"/>
    </row>
    <row r="1761" spans="3:9" ht="27" hidden="1" customHeight="1" x14ac:dyDescent="0.25">
      <c r="C1761" s="226"/>
      <c r="D1761" s="412" t="s">
        <v>1475</v>
      </c>
      <c r="E1761" s="413">
        <v>50000000</v>
      </c>
      <c r="F1761" s="243">
        <v>37205000</v>
      </c>
      <c r="G1761" s="334">
        <f t="shared" si="101"/>
        <v>74.41</v>
      </c>
      <c r="H1761" s="247">
        <v>100</v>
      </c>
      <c r="I1761" s="111"/>
    </row>
    <row r="1762" spans="3:9" s="115" customFormat="1" ht="16.5" hidden="1" customHeight="1" x14ac:dyDescent="0.25">
      <c r="C1762" s="222"/>
      <c r="D1762" s="316" t="s">
        <v>343</v>
      </c>
      <c r="E1762" s="411">
        <f>SUM(E1763:E1764)</f>
        <v>147000000</v>
      </c>
      <c r="F1762" s="242">
        <f>SUM(F1763:F1764)</f>
        <v>147000000</v>
      </c>
      <c r="G1762" s="336">
        <f t="shared" si="101"/>
        <v>100</v>
      </c>
      <c r="H1762" s="246">
        <v>100</v>
      </c>
      <c r="I1762" s="121"/>
    </row>
    <row r="1763" spans="3:9" ht="16.5" hidden="1" customHeight="1" x14ac:dyDescent="0.25">
      <c r="C1763" s="226"/>
      <c r="D1763" s="412" t="s">
        <v>1476</v>
      </c>
      <c r="E1763" s="413">
        <v>107000000</v>
      </c>
      <c r="F1763" s="243">
        <v>107000000</v>
      </c>
      <c r="G1763" s="334">
        <f t="shared" si="101"/>
        <v>100</v>
      </c>
      <c r="H1763" s="247">
        <v>100</v>
      </c>
      <c r="I1763" s="111"/>
    </row>
    <row r="1764" spans="3:9" ht="16.5" hidden="1" customHeight="1" x14ac:dyDescent="0.25">
      <c r="C1764" s="226"/>
      <c r="D1764" s="412" t="s">
        <v>1477</v>
      </c>
      <c r="E1764" s="413">
        <v>40000000</v>
      </c>
      <c r="F1764" s="243">
        <v>40000000</v>
      </c>
      <c r="G1764" s="334">
        <f t="shared" si="101"/>
        <v>100</v>
      </c>
      <c r="H1764" s="247">
        <v>100</v>
      </c>
      <c r="I1764" s="111"/>
    </row>
    <row r="1765" spans="3:9" ht="16.5" hidden="1" customHeight="1" x14ac:dyDescent="0.25">
      <c r="C1765" s="226"/>
      <c r="D1765" s="412"/>
      <c r="E1765" s="420"/>
      <c r="F1765" s="242"/>
      <c r="G1765" s="334"/>
      <c r="H1765" s="247"/>
      <c r="I1765" s="111"/>
    </row>
    <row r="1766" spans="3:9" ht="16.5" hidden="1" customHeight="1" x14ac:dyDescent="0.25">
      <c r="C1766" s="226"/>
      <c r="D1766" s="316" t="s">
        <v>1478</v>
      </c>
      <c r="E1766" s="421">
        <f>E1767+E1769+E1771+E1773+E1775</f>
        <v>705000000</v>
      </c>
      <c r="F1766" s="242">
        <f>F1767+F1769+F1771+F1773+F1775</f>
        <v>698160000</v>
      </c>
      <c r="G1766" s="336">
        <f t="shared" ref="G1766:G1776" si="102">F1766/E1766*100</f>
        <v>99.029787234042558</v>
      </c>
      <c r="H1766" s="246">
        <v>100</v>
      </c>
      <c r="I1766" s="111"/>
    </row>
    <row r="1767" spans="3:9" s="115" customFormat="1" ht="16.5" hidden="1" customHeight="1" x14ac:dyDescent="0.25">
      <c r="C1767" s="222"/>
      <c r="D1767" s="316" t="s">
        <v>744</v>
      </c>
      <c r="E1767" s="411">
        <f>E1768</f>
        <v>320000000</v>
      </c>
      <c r="F1767" s="242">
        <f>F1768</f>
        <v>320000000</v>
      </c>
      <c r="G1767" s="336">
        <f t="shared" si="102"/>
        <v>100</v>
      </c>
      <c r="H1767" s="246">
        <v>100</v>
      </c>
      <c r="I1767" s="121"/>
    </row>
    <row r="1768" spans="3:9" ht="16.5" hidden="1" customHeight="1" x14ac:dyDescent="0.25">
      <c r="C1768" s="226"/>
      <c r="D1768" s="412" t="s">
        <v>1479</v>
      </c>
      <c r="E1768" s="413">
        <v>320000000</v>
      </c>
      <c r="F1768" s="243">
        <v>320000000</v>
      </c>
      <c r="G1768" s="334">
        <f t="shared" si="102"/>
        <v>100</v>
      </c>
      <c r="H1768" s="247">
        <v>100</v>
      </c>
      <c r="I1768" s="111"/>
    </row>
    <row r="1769" spans="3:9" s="115" customFormat="1" ht="16.5" hidden="1" customHeight="1" x14ac:dyDescent="0.25">
      <c r="C1769" s="222"/>
      <c r="D1769" s="316" t="s">
        <v>1480</v>
      </c>
      <c r="E1769" s="411">
        <f>E1770</f>
        <v>100000000</v>
      </c>
      <c r="F1769" s="242">
        <f>F1770</f>
        <v>100000000</v>
      </c>
      <c r="G1769" s="336">
        <f t="shared" si="102"/>
        <v>100</v>
      </c>
      <c r="H1769" s="246">
        <v>100</v>
      </c>
      <c r="I1769" s="121"/>
    </row>
    <row r="1770" spans="3:9" ht="16.5" hidden="1" customHeight="1" x14ac:dyDescent="0.25">
      <c r="C1770" s="226"/>
      <c r="D1770" s="412" t="s">
        <v>1481</v>
      </c>
      <c r="E1770" s="413">
        <v>100000000</v>
      </c>
      <c r="F1770" s="243">
        <v>100000000</v>
      </c>
      <c r="G1770" s="334">
        <f t="shared" si="102"/>
        <v>100</v>
      </c>
      <c r="H1770" s="247">
        <v>100</v>
      </c>
      <c r="I1770" s="111"/>
    </row>
    <row r="1771" spans="3:9" s="115" customFormat="1" ht="28.5" hidden="1" customHeight="1" x14ac:dyDescent="0.25">
      <c r="C1771" s="222"/>
      <c r="D1771" s="316" t="s">
        <v>1482</v>
      </c>
      <c r="E1771" s="411">
        <f>E1772</f>
        <v>135000000</v>
      </c>
      <c r="F1771" s="242">
        <f>F1772</f>
        <v>135000000</v>
      </c>
      <c r="G1771" s="336">
        <f t="shared" si="102"/>
        <v>100</v>
      </c>
      <c r="H1771" s="246">
        <v>100</v>
      </c>
      <c r="I1771" s="121"/>
    </row>
    <row r="1772" spans="3:9" ht="16.5" hidden="1" customHeight="1" x14ac:dyDescent="0.25">
      <c r="C1772" s="226"/>
      <c r="D1772" s="412" t="s">
        <v>1483</v>
      </c>
      <c r="E1772" s="413">
        <v>135000000</v>
      </c>
      <c r="F1772" s="243">
        <v>135000000</v>
      </c>
      <c r="G1772" s="334">
        <f t="shared" si="102"/>
        <v>100</v>
      </c>
      <c r="H1772" s="247">
        <v>100</v>
      </c>
      <c r="I1772" s="111"/>
    </row>
    <row r="1773" spans="3:9" s="115" customFormat="1" ht="16.5" hidden="1" customHeight="1" x14ac:dyDescent="0.25">
      <c r="C1773" s="222"/>
      <c r="D1773" s="316" t="s">
        <v>1484</v>
      </c>
      <c r="E1773" s="411">
        <f>E1774</f>
        <v>100000000</v>
      </c>
      <c r="F1773" s="242">
        <f>F1774</f>
        <v>100000000</v>
      </c>
      <c r="G1773" s="336">
        <f t="shared" si="102"/>
        <v>100</v>
      </c>
      <c r="H1773" s="246">
        <v>100</v>
      </c>
      <c r="I1773" s="121"/>
    </row>
    <row r="1774" spans="3:9" ht="16.5" hidden="1" customHeight="1" x14ac:dyDescent="0.25">
      <c r="C1774" s="226"/>
      <c r="D1774" s="412" t="s">
        <v>1485</v>
      </c>
      <c r="E1774" s="413">
        <v>100000000</v>
      </c>
      <c r="F1774" s="243">
        <v>100000000</v>
      </c>
      <c r="G1774" s="334">
        <f t="shared" si="102"/>
        <v>100</v>
      </c>
      <c r="H1774" s="247">
        <v>100</v>
      </c>
      <c r="I1774" s="111"/>
    </row>
    <row r="1775" spans="3:9" s="115" customFormat="1" ht="16.5" hidden="1" customHeight="1" x14ac:dyDescent="0.25">
      <c r="C1775" s="222"/>
      <c r="D1775" s="316" t="s">
        <v>1486</v>
      </c>
      <c r="E1775" s="411">
        <f>E1776</f>
        <v>50000000</v>
      </c>
      <c r="F1775" s="242">
        <f>F1776</f>
        <v>43160000</v>
      </c>
      <c r="G1775" s="336">
        <f t="shared" si="102"/>
        <v>86.32</v>
      </c>
      <c r="H1775" s="246">
        <v>100</v>
      </c>
      <c r="I1775" s="121"/>
    </row>
    <row r="1776" spans="3:9" ht="16.5" hidden="1" customHeight="1" x14ac:dyDescent="0.25">
      <c r="C1776" s="226"/>
      <c r="D1776" s="412" t="s">
        <v>1487</v>
      </c>
      <c r="E1776" s="413">
        <v>50000000</v>
      </c>
      <c r="F1776" s="243">
        <v>43160000</v>
      </c>
      <c r="G1776" s="334">
        <f t="shared" si="102"/>
        <v>86.32</v>
      </c>
      <c r="H1776" s="247">
        <v>100</v>
      </c>
      <c r="I1776" s="111"/>
    </row>
    <row r="1777" spans="3:9" ht="16.5" hidden="1" customHeight="1" x14ac:dyDescent="0.25">
      <c r="C1777" s="226"/>
      <c r="D1777" s="412"/>
      <c r="E1777" s="420"/>
      <c r="F1777" s="243"/>
      <c r="G1777" s="334"/>
      <c r="H1777" s="247"/>
      <c r="I1777" s="111"/>
    </row>
    <row r="1778" spans="3:9" ht="16.5" hidden="1" customHeight="1" x14ac:dyDescent="0.25">
      <c r="C1778" s="226"/>
      <c r="D1778" s="316" t="s">
        <v>1411</v>
      </c>
      <c r="E1778" s="421">
        <f>E1780+E1781</f>
        <v>4652390300</v>
      </c>
      <c r="F1778" s="242">
        <f>F1780+F1781</f>
        <v>4651500000</v>
      </c>
      <c r="G1778" s="336">
        <f>F1778/E1778*100</f>
        <v>99.98086360037334</v>
      </c>
      <c r="H1778" s="246">
        <v>100</v>
      </c>
      <c r="I1778" s="250"/>
    </row>
    <row r="1779" spans="3:9" ht="30.75" hidden="1" customHeight="1" x14ac:dyDescent="0.25">
      <c r="C1779" s="226"/>
      <c r="D1779" s="414" t="s">
        <v>1488</v>
      </c>
      <c r="E1779" s="423"/>
      <c r="F1779" s="242"/>
      <c r="G1779" s="336"/>
      <c r="H1779" s="246"/>
      <c r="I1779" s="111"/>
    </row>
    <row r="1780" spans="3:9" s="115" customFormat="1" ht="16.5" hidden="1" customHeight="1" x14ac:dyDescent="0.25">
      <c r="C1780" s="222"/>
      <c r="D1780" s="414" t="s">
        <v>1489</v>
      </c>
      <c r="E1780" s="423">
        <v>4152390300</v>
      </c>
      <c r="F1780" s="242">
        <v>4151500000</v>
      </c>
      <c r="G1780" s="336">
        <f>F1780/E1780*100</f>
        <v>99.978559337256897</v>
      </c>
      <c r="H1780" s="246">
        <v>100</v>
      </c>
      <c r="I1780" s="121"/>
    </row>
    <row r="1781" spans="3:9" s="115" customFormat="1" ht="16.5" hidden="1" customHeight="1" x14ac:dyDescent="0.25">
      <c r="C1781" s="222"/>
      <c r="D1781" s="415" t="s">
        <v>1490</v>
      </c>
      <c r="E1781" s="416">
        <v>500000000</v>
      </c>
      <c r="F1781" s="243">
        <v>500000000</v>
      </c>
      <c r="G1781" s="334">
        <f>F1781/E1781*100</f>
        <v>100</v>
      </c>
      <c r="H1781" s="247">
        <v>100</v>
      </c>
      <c r="I1781" s="121"/>
    </row>
    <row r="1782" spans="3:9" ht="16.5" hidden="1" customHeight="1" x14ac:dyDescent="0.25">
      <c r="C1782" s="226"/>
      <c r="D1782" s="118"/>
      <c r="E1782" s="116"/>
      <c r="F1782" s="108"/>
      <c r="G1782" s="117"/>
      <c r="H1782" s="117"/>
      <c r="I1782" s="111"/>
    </row>
    <row r="1783" spans="3:9" ht="16.5" hidden="1" customHeight="1" x14ac:dyDescent="0.25">
      <c r="C1783" s="226"/>
      <c r="D1783" s="316" t="s">
        <v>1491</v>
      </c>
      <c r="E1783" s="421">
        <f>E1784</f>
        <v>250000000</v>
      </c>
      <c r="F1783" s="242">
        <f>F1784</f>
        <v>249890000</v>
      </c>
      <c r="G1783" s="336">
        <f>F1783/E1783*100</f>
        <v>99.956000000000003</v>
      </c>
      <c r="H1783" s="246">
        <v>100</v>
      </c>
      <c r="I1783" s="111"/>
    </row>
    <row r="1784" spans="3:9" s="115" customFormat="1" ht="16.5" hidden="1" customHeight="1" x14ac:dyDescent="0.25">
      <c r="C1784" s="222"/>
      <c r="D1784" s="316" t="s">
        <v>275</v>
      </c>
      <c r="E1784" s="411">
        <f>E1785</f>
        <v>250000000</v>
      </c>
      <c r="F1784" s="242">
        <f>F1785</f>
        <v>249890000</v>
      </c>
      <c r="G1784" s="336">
        <f>F1784/E1784*100</f>
        <v>99.956000000000003</v>
      </c>
      <c r="H1784" s="246">
        <v>100</v>
      </c>
      <c r="I1784" s="121"/>
    </row>
    <row r="1785" spans="3:9" ht="16.5" hidden="1" customHeight="1" x14ac:dyDescent="0.25">
      <c r="C1785" s="226"/>
      <c r="D1785" s="412" t="s">
        <v>1492</v>
      </c>
      <c r="E1785" s="413">
        <v>250000000</v>
      </c>
      <c r="F1785" s="243">
        <v>249890000</v>
      </c>
      <c r="G1785" s="334">
        <f>F1785/E1785*100</f>
        <v>99.956000000000003</v>
      </c>
      <c r="H1785" s="247">
        <v>100</v>
      </c>
      <c r="I1785" s="111"/>
    </row>
    <row r="1786" spans="3:9" ht="16.5" hidden="1" customHeight="1" x14ac:dyDescent="0.25">
      <c r="C1786" s="226"/>
      <c r="D1786" s="412"/>
      <c r="E1786" s="420"/>
      <c r="F1786" s="242"/>
      <c r="G1786" s="334"/>
      <c r="H1786" s="247"/>
      <c r="I1786" s="111"/>
    </row>
    <row r="1787" spans="3:9" ht="16.5" hidden="1" customHeight="1" x14ac:dyDescent="0.25">
      <c r="C1787" s="226"/>
      <c r="D1787" s="316" t="s">
        <v>1119</v>
      </c>
      <c r="E1787" s="421">
        <f>E1788+E1790</f>
        <v>300000000</v>
      </c>
      <c r="F1787" s="242">
        <f t="shared" ref="F1787" si="103">F1788+F1790</f>
        <v>300000000</v>
      </c>
      <c r="G1787" s="336">
        <f>F1787/E1787*100</f>
        <v>100</v>
      </c>
      <c r="H1787" s="246">
        <v>100</v>
      </c>
      <c r="I1787" s="111"/>
    </row>
    <row r="1788" spans="3:9" s="115" customFormat="1" ht="16.5" hidden="1" customHeight="1" x14ac:dyDescent="0.25">
      <c r="C1788" s="222"/>
      <c r="D1788" s="316" t="s">
        <v>299</v>
      </c>
      <c r="E1788" s="421">
        <f>E1789</f>
        <v>100000000</v>
      </c>
      <c r="F1788" s="242">
        <f t="shared" ref="F1788" si="104">F1789</f>
        <v>100000000</v>
      </c>
      <c r="G1788" s="336">
        <f>F1788/E1788*100</f>
        <v>100</v>
      </c>
      <c r="H1788" s="246">
        <v>100</v>
      </c>
      <c r="I1788" s="121"/>
    </row>
    <row r="1789" spans="3:9" ht="16.5" hidden="1" customHeight="1" x14ac:dyDescent="0.25">
      <c r="C1789" s="226"/>
      <c r="D1789" s="412" t="s">
        <v>1493</v>
      </c>
      <c r="E1789" s="413">
        <v>100000000</v>
      </c>
      <c r="F1789" s="243">
        <v>100000000</v>
      </c>
      <c r="G1789" s="334">
        <f>F1789/E1789*100</f>
        <v>100</v>
      </c>
      <c r="H1789" s="247">
        <v>100</v>
      </c>
      <c r="I1789" s="111"/>
    </row>
    <row r="1790" spans="3:9" ht="16.5" hidden="1" customHeight="1" x14ac:dyDescent="0.25">
      <c r="C1790" s="226"/>
      <c r="D1790" s="316" t="s">
        <v>343</v>
      </c>
      <c r="E1790" s="421">
        <f>E1791</f>
        <v>200000000</v>
      </c>
      <c r="F1790" s="242">
        <f>F1791</f>
        <v>200000000</v>
      </c>
      <c r="G1790" s="336">
        <f>F1790/E1790*100</f>
        <v>100</v>
      </c>
      <c r="H1790" s="246">
        <v>100</v>
      </c>
      <c r="I1790" s="111"/>
    </row>
    <row r="1791" spans="3:9" ht="16.5" hidden="1" customHeight="1" x14ac:dyDescent="0.25">
      <c r="C1791" s="226"/>
      <c r="D1791" s="412" t="s">
        <v>1494</v>
      </c>
      <c r="E1791" s="413">
        <v>200000000</v>
      </c>
      <c r="F1791" s="243">
        <v>200000000</v>
      </c>
      <c r="G1791" s="334">
        <f>F1791/E1791*100</f>
        <v>100</v>
      </c>
      <c r="H1791" s="247">
        <v>100</v>
      </c>
      <c r="I1791" s="111"/>
    </row>
    <row r="1792" spans="3:9" s="115" customFormat="1" ht="16.5" hidden="1" customHeight="1" x14ac:dyDescent="0.25">
      <c r="C1792" s="222"/>
      <c r="D1792" s="412"/>
      <c r="E1792" s="420"/>
      <c r="F1792" s="243"/>
      <c r="G1792" s="334"/>
      <c r="H1792" s="247"/>
      <c r="I1792" s="121"/>
    </row>
    <row r="1793" spans="3:9" s="115" customFormat="1" ht="16.5" hidden="1" customHeight="1" x14ac:dyDescent="0.25">
      <c r="C1793" s="222"/>
      <c r="D1793" s="316" t="s">
        <v>904</v>
      </c>
      <c r="E1793" s="424"/>
      <c r="F1793" s="242"/>
      <c r="G1793" s="336"/>
      <c r="H1793" s="246"/>
      <c r="I1793" s="121"/>
    </row>
    <row r="1794" spans="3:9" s="115" customFormat="1" ht="16.5" hidden="1" customHeight="1" x14ac:dyDescent="0.25">
      <c r="C1794" s="222"/>
      <c r="D1794" s="316" t="s">
        <v>405</v>
      </c>
      <c r="E1794" s="411">
        <f>SUM(E1795:E1797)</f>
        <v>443130100</v>
      </c>
      <c r="F1794" s="242">
        <f>SUM(F1795:F1797)</f>
        <v>443130100</v>
      </c>
      <c r="G1794" s="336">
        <f>F1794/E1794*100</f>
        <v>100</v>
      </c>
      <c r="H1794" s="246">
        <v>100</v>
      </c>
      <c r="I1794" s="121"/>
    </row>
    <row r="1795" spans="3:9" ht="16.5" hidden="1" customHeight="1" x14ac:dyDescent="0.25">
      <c r="C1795" s="226"/>
      <c r="D1795" s="412" t="s">
        <v>1495</v>
      </c>
      <c r="E1795" s="413">
        <v>63830000</v>
      </c>
      <c r="F1795" s="243">
        <v>63830000</v>
      </c>
      <c r="G1795" s="334">
        <f>F1795/E1795*100</f>
        <v>100</v>
      </c>
      <c r="H1795" s="247">
        <v>100</v>
      </c>
      <c r="I1795" s="111"/>
    </row>
    <row r="1796" spans="3:9" ht="16.5" hidden="1" customHeight="1" x14ac:dyDescent="0.25">
      <c r="C1796" s="226"/>
      <c r="D1796" s="412" t="s">
        <v>1496</v>
      </c>
      <c r="E1796" s="413">
        <v>86170000</v>
      </c>
      <c r="F1796" s="243">
        <v>86170000</v>
      </c>
      <c r="G1796" s="334">
        <f>F1796/E1796*100</f>
        <v>100</v>
      </c>
      <c r="H1796" s="247">
        <v>100</v>
      </c>
      <c r="I1796" s="111"/>
    </row>
    <row r="1797" spans="3:9" ht="16.5" hidden="1" customHeight="1" x14ac:dyDescent="0.25">
      <c r="C1797" s="226"/>
      <c r="D1797" s="412" t="s">
        <v>1497</v>
      </c>
      <c r="E1797" s="413">
        <v>293130100</v>
      </c>
      <c r="F1797" s="243">
        <v>293130100</v>
      </c>
      <c r="G1797" s="334">
        <f>F1797/E1797*100</f>
        <v>100</v>
      </c>
      <c r="H1797" s="247">
        <v>100</v>
      </c>
      <c r="I1797" s="111"/>
    </row>
    <row r="1798" spans="3:9" s="115" customFormat="1" ht="16.5" hidden="1" customHeight="1" x14ac:dyDescent="0.25">
      <c r="C1798" s="222"/>
      <c r="D1798" s="412"/>
      <c r="E1798" s="420"/>
      <c r="F1798" s="243"/>
      <c r="G1798" s="334"/>
      <c r="H1798" s="247"/>
      <c r="I1798" s="121"/>
    </row>
    <row r="1799" spans="3:9" ht="16.5" hidden="1" customHeight="1" x14ac:dyDescent="0.25">
      <c r="C1799" s="226"/>
      <c r="D1799" s="316" t="s">
        <v>1498</v>
      </c>
      <c r="E1799" s="421">
        <f>E1800</f>
        <v>500000000</v>
      </c>
      <c r="F1799" s="242">
        <f>F1800</f>
        <v>487635000</v>
      </c>
      <c r="G1799" s="336">
        <f>F1799/E1799*100</f>
        <v>97.527000000000001</v>
      </c>
      <c r="H1799" s="246">
        <v>100</v>
      </c>
      <c r="I1799" s="111"/>
    </row>
    <row r="1800" spans="3:9" ht="16.5" hidden="1" customHeight="1" x14ac:dyDescent="0.25">
      <c r="C1800" s="226"/>
      <c r="D1800" s="316" t="s">
        <v>1499</v>
      </c>
      <c r="E1800" s="411">
        <f>E1801</f>
        <v>500000000</v>
      </c>
      <c r="F1800" s="242">
        <f>F1801</f>
        <v>487635000</v>
      </c>
      <c r="G1800" s="336">
        <f>F1800/E1800*100</f>
        <v>97.527000000000001</v>
      </c>
      <c r="H1800" s="246">
        <v>100</v>
      </c>
      <c r="I1800" s="111"/>
    </row>
    <row r="1801" spans="3:9" ht="16.5" hidden="1" customHeight="1" x14ac:dyDescent="0.25">
      <c r="C1801" s="226"/>
      <c r="D1801" s="412" t="s">
        <v>1500</v>
      </c>
      <c r="E1801" s="413">
        <v>500000000</v>
      </c>
      <c r="F1801" s="243">
        <v>487635000</v>
      </c>
      <c r="G1801" s="334">
        <f>F1801/E1801*100</f>
        <v>97.527000000000001</v>
      </c>
      <c r="H1801" s="247">
        <v>100</v>
      </c>
      <c r="I1801" s="111"/>
    </row>
    <row r="1802" spans="3:9" ht="16.5" hidden="1" customHeight="1" x14ac:dyDescent="0.25">
      <c r="C1802" s="109"/>
      <c r="D1802" s="111"/>
      <c r="E1802" s="116"/>
      <c r="F1802" s="108"/>
      <c r="G1802" s="117"/>
      <c r="H1802" s="117"/>
      <c r="I1802" s="111"/>
    </row>
    <row r="1803" spans="3:9" ht="16.5" customHeight="1" x14ac:dyDescent="0.25">
      <c r="C1803" s="222" t="s">
        <v>1501</v>
      </c>
      <c r="D1803" s="48" t="s">
        <v>1502</v>
      </c>
      <c r="E1803" s="251">
        <f>+E1804+E1830+E1846+E1906+E1912+E1916+E1925+E1933+E1937+E1944+E1949+E1953+E1960+E1976+E1981+E1989+E2019+E2027+E2040</f>
        <v>100104193000</v>
      </c>
      <c r="F1803" s="113">
        <f>+F1804+F1830+F1846+F1906+F1912+F1916+F1925+F1933+F1937+F1944+F1949+F1953+F1960+F1976+F1981+F1989+F2019+F2027+F2040</f>
        <v>86143009743</v>
      </c>
      <c r="G1803" s="114">
        <f t="shared" ref="G1803:G1828" si="105">+F1803/E1803*100</f>
        <v>86.053348177932961</v>
      </c>
      <c r="H1803" s="114">
        <f>(+H1804+H1830+H1846+H1906+H1912+H1916+H1925+H1933+H1937+H1944+H1949+H1953+H1960+H1976+H1981+H1989+H2019+H2027+H2040)/18</f>
        <v>95.311553754339272</v>
      </c>
      <c r="I1803" s="111"/>
    </row>
    <row r="1804" spans="3:9" ht="16.5" hidden="1" customHeight="1" x14ac:dyDescent="0.25">
      <c r="C1804" s="226"/>
      <c r="D1804" s="48" t="s">
        <v>977</v>
      </c>
      <c r="E1804" s="251">
        <f>+E1805+E1809+E1819+E1821+E1823</f>
        <v>24277955000</v>
      </c>
      <c r="F1804" s="385">
        <f>+F1805+F1809+F1819+F1821+F1823</f>
        <v>17272907000</v>
      </c>
      <c r="G1804" s="333">
        <f t="shared" si="105"/>
        <v>71.146466001769909</v>
      </c>
      <c r="H1804" s="333">
        <f>(H1805+H1809+H1819+H1821+H1823)/4</f>
        <v>67.685750748037876</v>
      </c>
      <c r="I1804" s="111"/>
    </row>
    <row r="1805" spans="3:9" ht="16.5" hidden="1" customHeight="1" x14ac:dyDescent="0.25">
      <c r="C1805" s="226"/>
      <c r="D1805" s="121" t="s">
        <v>797</v>
      </c>
      <c r="E1805" s="251">
        <f>SUM(E1806:E1808)</f>
        <v>3591237000</v>
      </c>
      <c r="F1805" s="385">
        <f>SUM(F1806:F1808)</f>
        <v>1209664200</v>
      </c>
      <c r="G1805" s="333">
        <f t="shared" si="105"/>
        <v>33.683775256269641</v>
      </c>
      <c r="H1805" s="333">
        <f>SUM(H1806:H1808)/3</f>
        <v>73.370211641851299</v>
      </c>
      <c r="I1805" s="111"/>
    </row>
    <row r="1806" spans="3:9" ht="16.5" hidden="1" customHeight="1" x14ac:dyDescent="0.25">
      <c r="C1806" s="226"/>
      <c r="D1806" s="118" t="s">
        <v>1503</v>
      </c>
      <c r="E1806" s="252">
        <v>180000000</v>
      </c>
      <c r="F1806" s="387">
        <v>180000000</v>
      </c>
      <c r="G1806" s="379">
        <f t="shared" si="105"/>
        <v>100</v>
      </c>
      <c r="H1806" s="379">
        <f>G1806</f>
        <v>100</v>
      </c>
      <c r="I1806" s="111"/>
    </row>
    <row r="1807" spans="3:9" ht="16.5" hidden="1" customHeight="1" x14ac:dyDescent="0.25">
      <c r="C1807" s="226"/>
      <c r="D1807" s="118" t="s">
        <v>1504</v>
      </c>
      <c r="E1807" s="252">
        <v>411237000</v>
      </c>
      <c r="F1807" s="387">
        <v>408837000</v>
      </c>
      <c r="G1807" s="379">
        <f t="shared" si="105"/>
        <v>99.416394925553874</v>
      </c>
      <c r="H1807" s="379">
        <f>+G1807</f>
        <v>99.416394925553874</v>
      </c>
      <c r="I1807" s="111"/>
    </row>
    <row r="1808" spans="3:9" ht="16.5" hidden="1" customHeight="1" x14ac:dyDescent="0.25">
      <c r="C1808" s="226"/>
      <c r="D1808" s="118" t="s">
        <v>1505</v>
      </c>
      <c r="E1808" s="252">
        <v>3000000000</v>
      </c>
      <c r="F1808" s="387">
        <v>620827200</v>
      </c>
      <c r="G1808" s="379">
        <f t="shared" si="105"/>
        <v>20.694240000000001</v>
      </c>
      <c r="H1808" s="379">
        <f>+G1808</f>
        <v>20.694240000000001</v>
      </c>
      <c r="I1808" s="111"/>
    </row>
    <row r="1809" spans="3:9" ht="16.5" hidden="1" customHeight="1" x14ac:dyDescent="0.25">
      <c r="C1809" s="226"/>
      <c r="D1809" s="121" t="s">
        <v>680</v>
      </c>
      <c r="E1809" s="251">
        <f>SUM(E1810:E1818)</f>
        <v>17964763000</v>
      </c>
      <c r="F1809" s="385">
        <f>SUM(F1810:F1818)</f>
        <v>14329522800</v>
      </c>
      <c r="G1809" s="333">
        <f t="shared" si="105"/>
        <v>79.764608083056814</v>
      </c>
      <c r="H1809" s="333">
        <f>SUM(H1810:H1818)/9</f>
        <v>78.911993551125505</v>
      </c>
      <c r="I1809" s="111"/>
    </row>
    <row r="1810" spans="3:9" ht="16.5" hidden="1" customHeight="1" x14ac:dyDescent="0.25">
      <c r="C1810" s="226"/>
      <c r="D1810" s="118" t="s">
        <v>1506</v>
      </c>
      <c r="E1810" s="252">
        <v>4320000000</v>
      </c>
      <c r="F1810" s="387">
        <v>3741000000</v>
      </c>
      <c r="G1810" s="379">
        <f t="shared" si="105"/>
        <v>86.597222222222229</v>
      </c>
      <c r="H1810" s="379">
        <f t="shared" ref="H1810:H1818" si="106">G1810</f>
        <v>86.597222222222229</v>
      </c>
      <c r="I1810" s="111"/>
    </row>
    <row r="1811" spans="3:9" ht="16.5" hidden="1" customHeight="1" x14ac:dyDescent="0.25">
      <c r="C1811" s="226"/>
      <c r="D1811" s="118" t="s">
        <v>1507</v>
      </c>
      <c r="E1811" s="252">
        <v>2625000000</v>
      </c>
      <c r="F1811" s="387">
        <v>2589102000</v>
      </c>
      <c r="G1811" s="379">
        <f t="shared" si="105"/>
        <v>98.632457142857149</v>
      </c>
      <c r="H1811" s="379">
        <f t="shared" si="106"/>
        <v>98.632457142857149</v>
      </c>
      <c r="I1811" s="111"/>
    </row>
    <row r="1812" spans="3:9" ht="16.5" hidden="1" customHeight="1" x14ac:dyDescent="0.25">
      <c r="C1812" s="226"/>
      <c r="D1812" s="118" t="s">
        <v>1508</v>
      </c>
      <c r="E1812" s="252">
        <v>4088763000</v>
      </c>
      <c r="F1812" s="387">
        <v>1497305800</v>
      </c>
      <c r="G1812" s="379">
        <f t="shared" si="105"/>
        <v>36.620019306572672</v>
      </c>
      <c r="H1812" s="379">
        <f t="shared" si="106"/>
        <v>36.620019306572672</v>
      </c>
      <c r="I1812" s="111"/>
    </row>
    <row r="1813" spans="3:9" ht="16.5" hidden="1" customHeight="1" x14ac:dyDescent="0.25">
      <c r="C1813" s="226"/>
      <c r="D1813" s="118" t="s">
        <v>1509</v>
      </c>
      <c r="E1813" s="252">
        <v>1919000000</v>
      </c>
      <c r="F1813" s="387">
        <v>1861562000</v>
      </c>
      <c r="G1813" s="379">
        <f t="shared" si="105"/>
        <v>97.006878582595107</v>
      </c>
      <c r="H1813" s="379">
        <f t="shared" si="106"/>
        <v>97.006878582595107</v>
      </c>
      <c r="I1813" s="111"/>
    </row>
    <row r="1814" spans="3:9" ht="16.5" hidden="1" customHeight="1" x14ac:dyDescent="0.25">
      <c r="C1814" s="226"/>
      <c r="D1814" s="118" t="s">
        <v>1510</v>
      </c>
      <c r="E1814" s="252">
        <v>500000000</v>
      </c>
      <c r="F1814" s="387">
        <v>497048000</v>
      </c>
      <c r="G1814" s="379">
        <f t="shared" si="105"/>
        <v>99.409599999999998</v>
      </c>
      <c r="H1814" s="379">
        <f t="shared" si="106"/>
        <v>99.409599999999998</v>
      </c>
      <c r="I1814" s="111"/>
    </row>
    <row r="1815" spans="3:9" ht="16.5" hidden="1" customHeight="1" x14ac:dyDescent="0.25">
      <c r="C1815" s="226"/>
      <c r="D1815" s="118" t="s">
        <v>1511</v>
      </c>
      <c r="E1815" s="252">
        <v>2592000000</v>
      </c>
      <c r="F1815" s="387">
        <v>2592000000</v>
      </c>
      <c r="G1815" s="379">
        <f t="shared" si="105"/>
        <v>100</v>
      </c>
      <c r="H1815" s="379">
        <f t="shared" si="106"/>
        <v>100</v>
      </c>
      <c r="I1815" s="111"/>
    </row>
    <row r="1816" spans="3:9" ht="16.5" hidden="1" customHeight="1" x14ac:dyDescent="0.25">
      <c r="C1816" s="226"/>
      <c r="D1816" s="118" t="s">
        <v>1512</v>
      </c>
      <c r="E1816" s="252">
        <v>300000000</v>
      </c>
      <c r="F1816" s="387">
        <v>0</v>
      </c>
      <c r="G1816" s="379">
        <f t="shared" si="105"/>
        <v>0</v>
      </c>
      <c r="H1816" s="379">
        <f t="shared" si="106"/>
        <v>0</v>
      </c>
      <c r="I1816" s="111"/>
    </row>
    <row r="1817" spans="3:9" ht="16.5" hidden="1" customHeight="1" x14ac:dyDescent="0.25">
      <c r="C1817" s="226"/>
      <c r="D1817" s="118" t="s">
        <v>1513</v>
      </c>
      <c r="E1817" s="252">
        <v>850000000</v>
      </c>
      <c r="F1817" s="387">
        <v>781505000</v>
      </c>
      <c r="G1817" s="379">
        <f t="shared" si="105"/>
        <v>91.941764705882349</v>
      </c>
      <c r="H1817" s="379">
        <f t="shared" si="106"/>
        <v>91.941764705882349</v>
      </c>
      <c r="I1817" s="111"/>
    </row>
    <row r="1818" spans="3:9" ht="16.5" hidden="1" customHeight="1" x14ac:dyDescent="0.25">
      <c r="C1818" s="226"/>
      <c r="D1818" s="118" t="s">
        <v>1514</v>
      </c>
      <c r="E1818" s="252">
        <v>770000000</v>
      </c>
      <c r="F1818" s="387">
        <v>770000000</v>
      </c>
      <c r="G1818" s="379">
        <f t="shared" si="105"/>
        <v>100</v>
      </c>
      <c r="H1818" s="379">
        <f t="shared" si="106"/>
        <v>100</v>
      </c>
      <c r="I1818" s="111"/>
    </row>
    <row r="1819" spans="3:9" ht="16.5" hidden="1" customHeight="1" x14ac:dyDescent="0.25">
      <c r="C1819" s="226"/>
      <c r="D1819" s="121" t="s">
        <v>693</v>
      </c>
      <c r="E1819" s="251">
        <f>+E1820</f>
        <v>1728000000</v>
      </c>
      <c r="F1819" s="385">
        <f>+F1820</f>
        <v>1466240000</v>
      </c>
      <c r="G1819" s="333">
        <f t="shared" si="105"/>
        <v>84.851851851851862</v>
      </c>
      <c r="H1819" s="333">
        <f>+H1820/1</f>
        <v>85</v>
      </c>
      <c r="I1819" s="111"/>
    </row>
    <row r="1820" spans="3:9" ht="16.5" hidden="1" customHeight="1" x14ac:dyDescent="0.25">
      <c r="C1820" s="226"/>
      <c r="D1820" s="118" t="s">
        <v>1515</v>
      </c>
      <c r="E1820" s="252">
        <v>1728000000</v>
      </c>
      <c r="F1820" s="387">
        <v>1466240000</v>
      </c>
      <c r="G1820" s="379">
        <f t="shared" si="105"/>
        <v>84.851851851851862</v>
      </c>
      <c r="H1820" s="379">
        <v>85</v>
      </c>
      <c r="I1820" s="111"/>
    </row>
    <row r="1821" spans="3:9" ht="16.5" hidden="1" customHeight="1" x14ac:dyDescent="0.25">
      <c r="C1821" s="226"/>
      <c r="D1821" s="121" t="s">
        <v>92</v>
      </c>
      <c r="E1821" s="251">
        <f>+E1822</f>
        <v>100000000</v>
      </c>
      <c r="F1821" s="385">
        <f>+F1822</f>
        <v>0</v>
      </c>
      <c r="G1821" s="333">
        <f t="shared" si="105"/>
        <v>0</v>
      </c>
      <c r="H1821" s="333">
        <f>+H1822/1</f>
        <v>0</v>
      </c>
      <c r="I1821" s="111"/>
    </row>
    <row r="1822" spans="3:9" ht="29.25" hidden="1" customHeight="1" x14ac:dyDescent="0.25">
      <c r="C1822" s="226"/>
      <c r="D1822" s="118" t="s">
        <v>1516</v>
      </c>
      <c r="E1822" s="252">
        <v>100000000</v>
      </c>
      <c r="F1822" s="387">
        <v>0</v>
      </c>
      <c r="G1822" s="379">
        <f t="shared" si="105"/>
        <v>0</v>
      </c>
      <c r="H1822" s="379">
        <f>G1822</f>
        <v>0</v>
      </c>
      <c r="I1822" s="111"/>
    </row>
    <row r="1823" spans="3:9" ht="16.5" hidden="1" customHeight="1" x14ac:dyDescent="0.25">
      <c r="C1823" s="226"/>
      <c r="D1823" s="121" t="s">
        <v>109</v>
      </c>
      <c r="E1823" s="251">
        <f>SUM(E1824:E1828)</f>
        <v>893955000</v>
      </c>
      <c r="F1823" s="385">
        <f>SUM(F1824:F1828)</f>
        <v>267480000</v>
      </c>
      <c r="G1823" s="333">
        <f t="shared" si="105"/>
        <v>29.920969176300822</v>
      </c>
      <c r="H1823" s="333">
        <f>SUM(H1824:H1828)/5</f>
        <v>33.460797799174692</v>
      </c>
      <c r="I1823" s="111"/>
    </row>
    <row r="1824" spans="3:9" ht="16.5" hidden="1" customHeight="1" x14ac:dyDescent="0.25">
      <c r="C1824" s="226"/>
      <c r="D1824" s="118" t="s">
        <v>1517</v>
      </c>
      <c r="E1824" s="252">
        <v>307605000</v>
      </c>
      <c r="F1824" s="387">
        <v>0</v>
      </c>
      <c r="G1824" s="379">
        <f t="shared" si="105"/>
        <v>0</v>
      </c>
      <c r="H1824" s="379">
        <f>G1824</f>
        <v>0</v>
      </c>
      <c r="I1824" s="111"/>
    </row>
    <row r="1825" spans="3:9" ht="16.5" hidden="1" customHeight="1" x14ac:dyDescent="0.25">
      <c r="C1825" s="226"/>
      <c r="D1825" s="118" t="s">
        <v>1518</v>
      </c>
      <c r="E1825" s="252">
        <v>184450000</v>
      </c>
      <c r="F1825" s="387">
        <v>0</v>
      </c>
      <c r="G1825" s="379">
        <f t="shared" si="105"/>
        <v>0</v>
      </c>
      <c r="H1825" s="379">
        <f>G1825</f>
        <v>0</v>
      </c>
      <c r="I1825" s="111"/>
    </row>
    <row r="1826" spans="3:9" ht="16.5" hidden="1" customHeight="1" x14ac:dyDescent="0.25">
      <c r="C1826" s="226"/>
      <c r="D1826" s="118" t="s">
        <v>1519</v>
      </c>
      <c r="E1826" s="252">
        <v>76500000</v>
      </c>
      <c r="F1826" s="387">
        <v>0</v>
      </c>
      <c r="G1826" s="379">
        <f t="shared" si="105"/>
        <v>0</v>
      </c>
      <c r="H1826" s="379">
        <f>G1826</f>
        <v>0</v>
      </c>
      <c r="I1826" s="111"/>
    </row>
    <row r="1827" spans="3:9" ht="16.5" hidden="1" customHeight="1" x14ac:dyDescent="0.25">
      <c r="C1827" s="226"/>
      <c r="D1827" s="118" t="s">
        <v>1520</v>
      </c>
      <c r="E1827" s="252">
        <v>180000000</v>
      </c>
      <c r="F1827" s="387">
        <v>126000000</v>
      </c>
      <c r="G1827" s="379">
        <f t="shared" si="105"/>
        <v>70</v>
      </c>
      <c r="H1827" s="379">
        <f>G1827</f>
        <v>70</v>
      </c>
      <c r="I1827" s="111"/>
    </row>
    <row r="1828" spans="3:9" ht="29.25" hidden="1" customHeight="1" x14ac:dyDescent="0.25">
      <c r="C1828" s="226"/>
      <c r="D1828" s="118" t="s">
        <v>1521</v>
      </c>
      <c r="E1828" s="252">
        <v>145400000</v>
      </c>
      <c r="F1828" s="387">
        <v>141480000</v>
      </c>
      <c r="G1828" s="379">
        <f t="shared" si="105"/>
        <v>97.303988995873453</v>
      </c>
      <c r="H1828" s="379">
        <f>G1828</f>
        <v>97.303988995873453</v>
      </c>
      <c r="I1828" s="111"/>
    </row>
    <row r="1829" spans="3:9" ht="16.5" hidden="1" customHeight="1" x14ac:dyDescent="0.25">
      <c r="C1829" s="226"/>
      <c r="D1829" s="118"/>
      <c r="E1829" s="252"/>
      <c r="F1829" s="108"/>
      <c r="G1829" s="117"/>
      <c r="H1829" s="117"/>
      <c r="I1829" s="111"/>
    </row>
    <row r="1830" spans="3:9" ht="16.5" hidden="1" customHeight="1" x14ac:dyDescent="0.25">
      <c r="C1830" s="226"/>
      <c r="D1830" s="121" t="s">
        <v>1522</v>
      </c>
      <c r="E1830" s="251">
        <f>+E1831+E1839</f>
        <v>3168302900</v>
      </c>
      <c r="F1830" s="385">
        <f>+F1831+F1839</f>
        <v>2841966200</v>
      </c>
      <c r="G1830" s="333">
        <f t="shared" ref="G1830:G1844" si="107">+F1830/E1830*100</f>
        <v>89.699952615010389</v>
      </c>
      <c r="H1830" s="333">
        <f>(H1831+H1839)/2</f>
        <v>90</v>
      </c>
      <c r="I1830" s="111"/>
    </row>
    <row r="1831" spans="3:9" ht="16.5" hidden="1" customHeight="1" x14ac:dyDescent="0.25">
      <c r="C1831" s="226"/>
      <c r="D1831" s="121" t="s">
        <v>797</v>
      </c>
      <c r="E1831" s="251">
        <f>SUM(E1832:E1838)</f>
        <v>2044106200</v>
      </c>
      <c r="F1831" s="385">
        <f>SUM(F1832:F1838)</f>
        <v>1944006200</v>
      </c>
      <c r="G1831" s="333">
        <f t="shared" si="107"/>
        <v>95.102994159501108</v>
      </c>
      <c r="H1831" s="333">
        <f>SUM(H1832:H1838)/6</f>
        <v>100</v>
      </c>
      <c r="I1831" s="111"/>
    </row>
    <row r="1832" spans="3:9" ht="16.5" hidden="1" customHeight="1" x14ac:dyDescent="0.25">
      <c r="C1832" s="226"/>
      <c r="D1832" s="118" t="s">
        <v>1523</v>
      </c>
      <c r="E1832" s="252">
        <v>523300000</v>
      </c>
      <c r="F1832" s="387">
        <v>523300000</v>
      </c>
      <c r="G1832" s="379">
        <f t="shared" si="107"/>
        <v>100</v>
      </c>
      <c r="H1832" s="379">
        <f t="shared" ref="H1832:H1838" si="108">G1832</f>
        <v>100</v>
      </c>
      <c r="I1832" s="111"/>
    </row>
    <row r="1833" spans="3:9" ht="16.5" hidden="1" customHeight="1" x14ac:dyDescent="0.25">
      <c r="C1833" s="226"/>
      <c r="D1833" s="118" t="s">
        <v>1524</v>
      </c>
      <c r="E1833" s="252">
        <v>398056200</v>
      </c>
      <c r="F1833" s="387">
        <v>398056200</v>
      </c>
      <c r="G1833" s="379">
        <f t="shared" si="107"/>
        <v>100</v>
      </c>
      <c r="H1833" s="379">
        <f t="shared" si="108"/>
        <v>100</v>
      </c>
      <c r="I1833" s="111"/>
    </row>
    <row r="1834" spans="3:9" ht="16.5" hidden="1" customHeight="1" x14ac:dyDescent="0.25">
      <c r="C1834" s="226"/>
      <c r="D1834" s="118" t="s">
        <v>1525</v>
      </c>
      <c r="E1834" s="252">
        <v>100000000</v>
      </c>
      <c r="F1834" s="387">
        <v>100000000</v>
      </c>
      <c r="G1834" s="379">
        <f t="shared" si="107"/>
        <v>100</v>
      </c>
      <c r="H1834" s="379">
        <f t="shared" si="108"/>
        <v>100</v>
      </c>
      <c r="I1834" s="111"/>
    </row>
    <row r="1835" spans="3:9" ht="30.75" hidden="1" customHeight="1" x14ac:dyDescent="0.25">
      <c r="C1835" s="226"/>
      <c r="D1835" s="118" t="s">
        <v>1526</v>
      </c>
      <c r="E1835" s="252">
        <v>100000000</v>
      </c>
      <c r="F1835" s="387">
        <v>0</v>
      </c>
      <c r="G1835" s="379">
        <f t="shared" si="107"/>
        <v>0</v>
      </c>
      <c r="H1835" s="379">
        <f t="shared" si="108"/>
        <v>0</v>
      </c>
      <c r="I1835" s="111"/>
    </row>
    <row r="1836" spans="3:9" ht="30.75" hidden="1" customHeight="1" x14ac:dyDescent="0.25">
      <c r="C1836" s="226"/>
      <c r="D1836" s="118" t="s">
        <v>1527</v>
      </c>
      <c r="E1836" s="252">
        <v>272050000</v>
      </c>
      <c r="F1836" s="387">
        <v>272050000</v>
      </c>
      <c r="G1836" s="379">
        <f t="shared" si="107"/>
        <v>100</v>
      </c>
      <c r="H1836" s="379">
        <f t="shared" si="108"/>
        <v>100</v>
      </c>
      <c r="I1836" s="111"/>
    </row>
    <row r="1837" spans="3:9" ht="16.5" hidden="1" customHeight="1" x14ac:dyDescent="0.25">
      <c r="C1837" s="226"/>
      <c r="D1837" s="118" t="s">
        <v>1528</v>
      </c>
      <c r="E1837" s="252">
        <v>350700000</v>
      </c>
      <c r="F1837" s="387">
        <v>350600000</v>
      </c>
      <c r="G1837" s="379">
        <f t="shared" si="107"/>
        <v>99.971485600228121</v>
      </c>
      <c r="H1837" s="379">
        <v>100</v>
      </c>
      <c r="I1837" s="111"/>
    </row>
    <row r="1838" spans="3:9" ht="16.5" hidden="1" customHeight="1" x14ac:dyDescent="0.25">
      <c r="C1838" s="226"/>
      <c r="D1838" s="118" t="s">
        <v>1529</v>
      </c>
      <c r="E1838" s="252">
        <v>300000000</v>
      </c>
      <c r="F1838" s="387">
        <v>300000000</v>
      </c>
      <c r="G1838" s="379">
        <f t="shared" si="107"/>
        <v>100</v>
      </c>
      <c r="H1838" s="379">
        <f t="shared" si="108"/>
        <v>100</v>
      </c>
      <c r="I1838" s="111"/>
    </row>
    <row r="1839" spans="3:9" ht="16.5" hidden="1" customHeight="1" x14ac:dyDescent="0.25">
      <c r="C1839" s="226"/>
      <c r="D1839" s="121" t="s">
        <v>92</v>
      </c>
      <c r="E1839" s="251">
        <f>SUM(E1840:E1844)</f>
        <v>1124196700</v>
      </c>
      <c r="F1839" s="385">
        <f>SUM(F1840:F1844)</f>
        <v>897960000</v>
      </c>
      <c r="G1839" s="333">
        <f t="shared" si="107"/>
        <v>79.875701467545667</v>
      </c>
      <c r="H1839" s="333">
        <f>SUM(H1840:H1844)/5</f>
        <v>80</v>
      </c>
      <c r="I1839" s="111"/>
    </row>
    <row r="1840" spans="3:9" ht="16.5" hidden="1" customHeight="1" x14ac:dyDescent="0.25">
      <c r="C1840" s="226"/>
      <c r="D1840" s="118" t="s">
        <v>1530</v>
      </c>
      <c r="E1840" s="252">
        <v>174431700</v>
      </c>
      <c r="F1840" s="387">
        <v>60200000</v>
      </c>
      <c r="G1840" s="379">
        <f t="shared" si="107"/>
        <v>34.512075500038122</v>
      </c>
      <c r="H1840" s="379">
        <v>50</v>
      </c>
      <c r="I1840" s="111"/>
    </row>
    <row r="1841" spans="3:9" ht="16.5" hidden="1" customHeight="1" x14ac:dyDescent="0.25">
      <c r="C1841" s="226"/>
      <c r="D1841" s="118" t="s">
        <v>1531</v>
      </c>
      <c r="E1841" s="252">
        <v>250000000</v>
      </c>
      <c r="F1841" s="387">
        <v>250000000</v>
      </c>
      <c r="G1841" s="379">
        <f t="shared" si="107"/>
        <v>100</v>
      </c>
      <c r="H1841" s="379">
        <f>G1841</f>
        <v>100</v>
      </c>
      <c r="I1841" s="111"/>
    </row>
    <row r="1842" spans="3:9" ht="16.5" hidden="1" customHeight="1" x14ac:dyDescent="0.25">
      <c r="C1842" s="226"/>
      <c r="D1842" s="118" t="s">
        <v>1532</v>
      </c>
      <c r="E1842" s="252">
        <v>400000000</v>
      </c>
      <c r="F1842" s="387">
        <v>397875000</v>
      </c>
      <c r="G1842" s="379">
        <f t="shared" si="107"/>
        <v>99.46875</v>
      </c>
      <c r="H1842" s="379">
        <v>100</v>
      </c>
      <c r="I1842" s="111"/>
    </row>
    <row r="1843" spans="3:9" ht="30.75" hidden="1" customHeight="1" x14ac:dyDescent="0.25">
      <c r="C1843" s="226"/>
      <c r="D1843" s="118" t="s">
        <v>1533</v>
      </c>
      <c r="E1843" s="252">
        <v>198080000</v>
      </c>
      <c r="F1843" s="387">
        <v>88200000</v>
      </c>
      <c r="G1843" s="379">
        <f t="shared" si="107"/>
        <v>44.527463651050084</v>
      </c>
      <c r="H1843" s="379">
        <v>50</v>
      </c>
      <c r="I1843" s="111"/>
    </row>
    <row r="1844" spans="3:9" ht="30.75" hidden="1" customHeight="1" x14ac:dyDescent="0.25">
      <c r="C1844" s="226"/>
      <c r="D1844" s="118" t="s">
        <v>1534</v>
      </c>
      <c r="E1844" s="252">
        <v>101685000</v>
      </c>
      <c r="F1844" s="387">
        <v>101685000</v>
      </c>
      <c r="G1844" s="379">
        <f t="shared" si="107"/>
        <v>100</v>
      </c>
      <c r="H1844" s="379">
        <f>G1844</f>
        <v>100</v>
      </c>
      <c r="I1844" s="111"/>
    </row>
    <row r="1845" spans="3:9" ht="16.5" hidden="1" customHeight="1" x14ac:dyDescent="0.25">
      <c r="C1845" s="226"/>
      <c r="D1845" s="118"/>
      <c r="E1845" s="252"/>
      <c r="F1845" s="108"/>
      <c r="G1845" s="117"/>
      <c r="H1845" s="117"/>
      <c r="I1845" s="111"/>
    </row>
    <row r="1846" spans="3:9" ht="16.5" hidden="1" customHeight="1" x14ac:dyDescent="0.25">
      <c r="C1846" s="226"/>
      <c r="D1846" s="121" t="s">
        <v>150</v>
      </c>
      <c r="E1846" s="251">
        <f>+E1847+E1853+E1860+E1862+E1867+E1872+E1875+E1889+E1891+E1898+E1900</f>
        <v>15015628950</v>
      </c>
      <c r="F1846" s="422">
        <f>+F1847+F1853+F1860+F1862+F1867+F1872+F1875+F1889+F1891+F1898+F1900</f>
        <v>10973449870</v>
      </c>
      <c r="G1846" s="333">
        <f t="shared" ref="G1846:G1877" si="109">+F1846/E1846*100</f>
        <v>73.080188026356367</v>
      </c>
      <c r="H1846" s="333">
        <f>(H1847+H1853+H1860+H1862+H1867+H1872+H1875+H1889+H1891+H1898+H1900)/10</f>
        <v>52.368279216902657</v>
      </c>
      <c r="I1846" s="111"/>
    </row>
    <row r="1847" spans="3:9" ht="16.5" hidden="1" customHeight="1" x14ac:dyDescent="0.25">
      <c r="C1847" s="226"/>
      <c r="D1847" s="121" t="s">
        <v>156</v>
      </c>
      <c r="E1847" s="251">
        <f>SUM(E1848:E1852)</f>
        <v>2286000000</v>
      </c>
      <c r="F1847" s="422">
        <f>SUM(F1848:F1852)</f>
        <v>1678217870</v>
      </c>
      <c r="G1847" s="333">
        <f t="shared" si="109"/>
        <v>73.4128552055993</v>
      </c>
      <c r="H1847" s="333">
        <v>75</v>
      </c>
      <c r="I1847" s="111"/>
    </row>
    <row r="1848" spans="3:9" ht="16.5" hidden="1" customHeight="1" x14ac:dyDescent="0.25">
      <c r="C1848" s="226"/>
      <c r="D1848" s="118" t="s">
        <v>1535</v>
      </c>
      <c r="E1848" s="252">
        <v>1700000000</v>
      </c>
      <c r="F1848" s="296">
        <v>1678217870</v>
      </c>
      <c r="G1848" s="379">
        <f t="shared" si="109"/>
        <v>98.718698235294127</v>
      </c>
      <c r="H1848" s="379">
        <v>100</v>
      </c>
      <c r="I1848" s="111"/>
    </row>
    <row r="1849" spans="3:9" ht="16.5" hidden="1" customHeight="1" x14ac:dyDescent="0.25">
      <c r="C1849" s="226"/>
      <c r="D1849" s="118" t="s">
        <v>1536</v>
      </c>
      <c r="E1849" s="252">
        <v>250000000</v>
      </c>
      <c r="F1849" s="296">
        <v>0</v>
      </c>
      <c r="G1849" s="379">
        <f t="shared" si="109"/>
        <v>0</v>
      </c>
      <c r="H1849" s="379">
        <f>G1849</f>
        <v>0</v>
      </c>
      <c r="I1849" s="111"/>
    </row>
    <row r="1850" spans="3:9" ht="16.5" hidden="1" customHeight="1" x14ac:dyDescent="0.25">
      <c r="C1850" s="226"/>
      <c r="D1850" s="118" t="s">
        <v>1537</v>
      </c>
      <c r="E1850" s="252">
        <v>150000000</v>
      </c>
      <c r="F1850" s="296">
        <v>0</v>
      </c>
      <c r="G1850" s="379">
        <f t="shared" si="109"/>
        <v>0</v>
      </c>
      <c r="H1850" s="379">
        <f>G1850</f>
        <v>0</v>
      </c>
      <c r="I1850" s="111"/>
    </row>
    <row r="1851" spans="3:9" ht="30.75" hidden="1" customHeight="1" x14ac:dyDescent="0.25">
      <c r="C1851" s="226"/>
      <c r="D1851" s="118" t="s">
        <v>1538</v>
      </c>
      <c r="E1851" s="252">
        <v>36000000</v>
      </c>
      <c r="F1851" s="296">
        <v>0</v>
      </c>
      <c r="G1851" s="379">
        <f t="shared" si="109"/>
        <v>0</v>
      </c>
      <c r="H1851" s="379">
        <f>G1851</f>
        <v>0</v>
      </c>
      <c r="I1851" s="111"/>
    </row>
    <row r="1852" spans="3:9" ht="16.5" hidden="1" customHeight="1" x14ac:dyDescent="0.25">
      <c r="C1852" s="226"/>
      <c r="D1852" s="118" t="s">
        <v>1539</v>
      </c>
      <c r="E1852" s="252">
        <v>150000000</v>
      </c>
      <c r="F1852" s="296">
        <v>0</v>
      </c>
      <c r="G1852" s="379">
        <f t="shared" si="109"/>
        <v>0</v>
      </c>
      <c r="H1852" s="379">
        <f>G1852</f>
        <v>0</v>
      </c>
      <c r="I1852" s="111"/>
    </row>
    <row r="1853" spans="3:9" ht="16.5" hidden="1" customHeight="1" x14ac:dyDescent="0.25">
      <c r="C1853" s="226"/>
      <c r="D1853" s="121" t="s">
        <v>166</v>
      </c>
      <c r="E1853" s="251">
        <f>SUM(E1854:E1859)</f>
        <v>3806290000</v>
      </c>
      <c r="F1853" s="422">
        <f>SUM(F1854:F1859)</f>
        <v>3513790000</v>
      </c>
      <c r="G1853" s="333">
        <f t="shared" si="109"/>
        <v>92.315351694169394</v>
      </c>
      <c r="H1853" s="333">
        <f>SUM(H1854:H1859)/4</f>
        <v>92.5</v>
      </c>
      <c r="I1853" s="111"/>
    </row>
    <row r="1854" spans="3:9" ht="30.75" hidden="1" customHeight="1" x14ac:dyDescent="0.25">
      <c r="C1854" s="226"/>
      <c r="D1854" s="118" t="s">
        <v>1540</v>
      </c>
      <c r="E1854" s="252">
        <v>150000000</v>
      </c>
      <c r="F1854" s="296">
        <v>0</v>
      </c>
      <c r="G1854" s="379">
        <f t="shared" si="109"/>
        <v>0</v>
      </c>
      <c r="H1854" s="379">
        <f t="shared" ref="H1854:H1859" si="110">G1854</f>
        <v>0</v>
      </c>
      <c r="I1854" s="111"/>
    </row>
    <row r="1855" spans="3:9" ht="30.75" hidden="1" customHeight="1" x14ac:dyDescent="0.25">
      <c r="C1855" s="226"/>
      <c r="D1855" s="118" t="s">
        <v>1541</v>
      </c>
      <c r="E1855" s="252">
        <v>285000000</v>
      </c>
      <c r="F1855" s="296">
        <v>285000000</v>
      </c>
      <c r="G1855" s="379">
        <f t="shared" si="109"/>
        <v>100</v>
      </c>
      <c r="H1855" s="379">
        <f t="shared" si="110"/>
        <v>100</v>
      </c>
      <c r="I1855" s="111"/>
    </row>
    <row r="1856" spans="3:9" ht="16.5" hidden="1" customHeight="1" x14ac:dyDescent="0.25">
      <c r="C1856" s="226"/>
      <c r="D1856" s="118" t="s">
        <v>1542</v>
      </c>
      <c r="E1856" s="252">
        <v>1962000000</v>
      </c>
      <c r="F1856" s="296">
        <v>1962000000</v>
      </c>
      <c r="G1856" s="379">
        <f t="shared" si="109"/>
        <v>100</v>
      </c>
      <c r="H1856" s="379">
        <f t="shared" si="110"/>
        <v>100</v>
      </c>
      <c r="I1856" s="111"/>
    </row>
    <row r="1857" spans="3:9" ht="30.75" hidden="1" customHeight="1" x14ac:dyDescent="0.25">
      <c r="C1857" s="226"/>
      <c r="D1857" s="118" t="s">
        <v>1543</v>
      </c>
      <c r="E1857" s="252">
        <v>110000000</v>
      </c>
      <c r="F1857" s="296">
        <v>0</v>
      </c>
      <c r="G1857" s="379">
        <f t="shared" si="109"/>
        <v>0</v>
      </c>
      <c r="H1857" s="379">
        <f t="shared" si="110"/>
        <v>0</v>
      </c>
      <c r="I1857" s="111"/>
    </row>
    <row r="1858" spans="3:9" ht="16.5" hidden="1" customHeight="1" x14ac:dyDescent="0.25">
      <c r="C1858" s="226"/>
      <c r="D1858" s="118" t="s">
        <v>1544</v>
      </c>
      <c r="E1858" s="252">
        <v>80000000</v>
      </c>
      <c r="F1858" s="296">
        <v>47500000</v>
      </c>
      <c r="G1858" s="379">
        <f t="shared" si="109"/>
        <v>59.375</v>
      </c>
      <c r="H1858" s="379">
        <v>70</v>
      </c>
      <c r="I1858" s="111"/>
    </row>
    <row r="1859" spans="3:9" ht="16.5" hidden="1" customHeight="1" x14ac:dyDescent="0.25">
      <c r="C1859" s="226"/>
      <c r="D1859" s="118" t="s">
        <v>1545</v>
      </c>
      <c r="E1859" s="252">
        <v>1219290000</v>
      </c>
      <c r="F1859" s="296">
        <v>1219290000</v>
      </c>
      <c r="G1859" s="379">
        <f t="shared" si="109"/>
        <v>100</v>
      </c>
      <c r="H1859" s="379">
        <f t="shared" si="110"/>
        <v>100</v>
      </c>
      <c r="I1859" s="111"/>
    </row>
    <row r="1860" spans="3:9" ht="16.5" hidden="1" customHeight="1" x14ac:dyDescent="0.25">
      <c r="C1860" s="226"/>
      <c r="D1860" s="121" t="s">
        <v>1387</v>
      </c>
      <c r="E1860" s="251">
        <f>+E1861</f>
        <v>250000000</v>
      </c>
      <c r="F1860" s="422">
        <f>+F1861</f>
        <v>0</v>
      </c>
      <c r="G1860" s="333">
        <f t="shared" si="109"/>
        <v>0</v>
      </c>
      <c r="H1860" s="333">
        <f>+H1861</f>
        <v>0</v>
      </c>
      <c r="I1860" s="111"/>
    </row>
    <row r="1861" spans="3:9" ht="16.5" hidden="1" customHeight="1" x14ac:dyDescent="0.25">
      <c r="C1861" s="226"/>
      <c r="D1861" s="118" t="s">
        <v>1546</v>
      </c>
      <c r="E1861" s="252">
        <v>250000000</v>
      </c>
      <c r="F1861" s="296">
        <v>0</v>
      </c>
      <c r="G1861" s="379">
        <f t="shared" si="109"/>
        <v>0</v>
      </c>
      <c r="H1861" s="379">
        <f>G1861</f>
        <v>0</v>
      </c>
      <c r="I1861" s="111"/>
    </row>
    <row r="1862" spans="3:9" ht="16.5" hidden="1" customHeight="1" x14ac:dyDescent="0.25">
      <c r="C1862" s="226"/>
      <c r="D1862" s="121" t="s">
        <v>175</v>
      </c>
      <c r="E1862" s="251">
        <f>SUM(E1863:E1866)</f>
        <v>415000000</v>
      </c>
      <c r="F1862" s="422">
        <f>SUM(F1863:F1866)</f>
        <v>87350000</v>
      </c>
      <c r="G1862" s="333">
        <f t="shared" si="109"/>
        <v>21.048192771084338</v>
      </c>
      <c r="H1862" s="333">
        <f>SUM(H1863:H1866)/4</f>
        <v>21.837500000000002</v>
      </c>
      <c r="I1862" s="111"/>
    </row>
    <row r="1863" spans="3:9" ht="16.5" hidden="1" customHeight="1" x14ac:dyDescent="0.25">
      <c r="C1863" s="226"/>
      <c r="D1863" s="118" t="s">
        <v>1547</v>
      </c>
      <c r="E1863" s="252">
        <v>100000000</v>
      </c>
      <c r="F1863" s="296">
        <v>87350000</v>
      </c>
      <c r="G1863" s="379">
        <f t="shared" si="109"/>
        <v>87.350000000000009</v>
      </c>
      <c r="H1863" s="379">
        <f>G1863</f>
        <v>87.350000000000009</v>
      </c>
      <c r="I1863" s="111"/>
    </row>
    <row r="1864" spans="3:9" ht="16.5" hidden="1" customHeight="1" x14ac:dyDescent="0.25">
      <c r="C1864" s="226"/>
      <c r="D1864" s="118" t="s">
        <v>1548</v>
      </c>
      <c r="E1864" s="252">
        <v>100000000</v>
      </c>
      <c r="F1864" s="296">
        <v>0</v>
      </c>
      <c r="G1864" s="379">
        <f t="shared" si="109"/>
        <v>0</v>
      </c>
      <c r="H1864" s="379">
        <f>G1864</f>
        <v>0</v>
      </c>
      <c r="I1864" s="111"/>
    </row>
    <row r="1865" spans="3:9" ht="16.5" hidden="1" customHeight="1" x14ac:dyDescent="0.25">
      <c r="C1865" s="226"/>
      <c r="D1865" s="118" t="s">
        <v>1549</v>
      </c>
      <c r="E1865" s="252">
        <v>185000000</v>
      </c>
      <c r="F1865" s="296">
        <v>0</v>
      </c>
      <c r="G1865" s="379">
        <f t="shared" si="109"/>
        <v>0</v>
      </c>
      <c r="H1865" s="379">
        <f>G1865</f>
        <v>0</v>
      </c>
      <c r="I1865" s="111"/>
    </row>
    <row r="1866" spans="3:9" ht="16.5" hidden="1" customHeight="1" x14ac:dyDescent="0.25">
      <c r="C1866" s="226"/>
      <c r="D1866" s="118" t="s">
        <v>1550</v>
      </c>
      <c r="E1866" s="252">
        <v>30000000</v>
      </c>
      <c r="F1866" s="296">
        <v>0</v>
      </c>
      <c r="G1866" s="379">
        <f t="shared" si="109"/>
        <v>0</v>
      </c>
      <c r="H1866" s="379">
        <f>G1866</f>
        <v>0</v>
      </c>
      <c r="I1866" s="111"/>
    </row>
    <row r="1867" spans="3:9" ht="16.5" hidden="1" customHeight="1" x14ac:dyDescent="0.25">
      <c r="C1867" s="226"/>
      <c r="D1867" s="121" t="s">
        <v>177</v>
      </c>
      <c r="E1867" s="251">
        <f>SUM(E1868:E1871)</f>
        <v>935250000</v>
      </c>
      <c r="F1867" s="422">
        <f>SUM(F1868:F1871)</f>
        <v>633749000</v>
      </c>
      <c r="G1867" s="333">
        <f t="shared" si="109"/>
        <v>67.762523389468058</v>
      </c>
      <c r="H1867" s="333">
        <f>SUM(H1868:H1871)/4</f>
        <v>69.974955664161726</v>
      </c>
      <c r="I1867" s="111"/>
    </row>
    <row r="1868" spans="3:9" ht="16.5" hidden="1" customHeight="1" x14ac:dyDescent="0.25">
      <c r="C1868" s="226"/>
      <c r="D1868" s="118" t="s">
        <v>1551</v>
      </c>
      <c r="E1868" s="252">
        <v>256500000</v>
      </c>
      <c r="F1868" s="296">
        <v>0</v>
      </c>
      <c r="G1868" s="379">
        <f t="shared" si="109"/>
        <v>0</v>
      </c>
      <c r="H1868" s="379">
        <f>G1868</f>
        <v>0</v>
      </c>
      <c r="I1868" s="111"/>
    </row>
    <row r="1869" spans="3:9" ht="30.75" hidden="1" customHeight="1" x14ac:dyDescent="0.25">
      <c r="C1869" s="226"/>
      <c r="D1869" s="118" t="s">
        <v>1552</v>
      </c>
      <c r="E1869" s="252">
        <v>216000000</v>
      </c>
      <c r="F1869" s="296">
        <v>194358000</v>
      </c>
      <c r="G1869" s="379">
        <f t="shared" si="109"/>
        <v>89.980555555555554</v>
      </c>
      <c r="H1869" s="379">
        <f>G1869</f>
        <v>89.980555555555554</v>
      </c>
      <c r="I1869" s="111"/>
    </row>
    <row r="1870" spans="3:9" ht="16.5" hidden="1" customHeight="1" x14ac:dyDescent="0.25">
      <c r="C1870" s="226"/>
      <c r="D1870" s="118" t="s">
        <v>1553</v>
      </c>
      <c r="E1870" s="252">
        <v>237250000</v>
      </c>
      <c r="F1870" s="296">
        <v>224591000</v>
      </c>
      <c r="G1870" s="379">
        <f t="shared" si="109"/>
        <v>94.664278187565856</v>
      </c>
      <c r="H1870" s="379">
        <f>G1870</f>
        <v>94.664278187565856</v>
      </c>
      <c r="I1870" s="111"/>
    </row>
    <row r="1871" spans="3:9" ht="30.75" hidden="1" customHeight="1" x14ac:dyDescent="0.25">
      <c r="C1871" s="226"/>
      <c r="D1871" s="118" t="s">
        <v>1554</v>
      </c>
      <c r="E1871" s="252">
        <v>225500000</v>
      </c>
      <c r="F1871" s="296">
        <v>214800000</v>
      </c>
      <c r="G1871" s="379">
        <f t="shared" si="109"/>
        <v>95.254988913525494</v>
      </c>
      <c r="H1871" s="379">
        <f>G1871</f>
        <v>95.254988913525494</v>
      </c>
      <c r="I1871" s="111"/>
    </row>
    <row r="1872" spans="3:9" ht="16.5" hidden="1" customHeight="1" x14ac:dyDescent="0.25">
      <c r="C1872" s="226"/>
      <c r="D1872" s="121" t="s">
        <v>179</v>
      </c>
      <c r="E1872" s="251">
        <f>SUM(E1873:E1874)</f>
        <v>566500000</v>
      </c>
      <c r="F1872" s="422">
        <f>SUM(F1873:F1874)</f>
        <v>516500000</v>
      </c>
      <c r="G1872" s="333">
        <f t="shared" si="109"/>
        <v>91.173874669020307</v>
      </c>
      <c r="H1872" s="333">
        <f>+H1873</f>
        <v>100</v>
      </c>
      <c r="I1872" s="111"/>
    </row>
    <row r="1873" spans="3:9" ht="16.5" hidden="1" customHeight="1" x14ac:dyDescent="0.25">
      <c r="C1873" s="226"/>
      <c r="D1873" s="118" t="s">
        <v>1555</v>
      </c>
      <c r="E1873" s="252">
        <v>516500000</v>
      </c>
      <c r="F1873" s="296">
        <v>516500000</v>
      </c>
      <c r="G1873" s="379">
        <f t="shared" si="109"/>
        <v>100</v>
      </c>
      <c r="H1873" s="379">
        <f>G1873</f>
        <v>100</v>
      </c>
      <c r="I1873" s="111"/>
    </row>
    <row r="1874" spans="3:9" ht="16.5" hidden="1" customHeight="1" x14ac:dyDescent="0.25">
      <c r="C1874" s="226"/>
      <c r="D1874" s="118" t="s">
        <v>1556</v>
      </c>
      <c r="E1874" s="252">
        <v>50000000</v>
      </c>
      <c r="F1874" s="296">
        <v>0</v>
      </c>
      <c r="G1874" s="379">
        <f t="shared" si="109"/>
        <v>0</v>
      </c>
      <c r="H1874" s="379">
        <f>G1874</f>
        <v>0</v>
      </c>
      <c r="I1874" s="111"/>
    </row>
    <row r="1875" spans="3:9" ht="16.5" hidden="1" customHeight="1" x14ac:dyDescent="0.25">
      <c r="C1875" s="226"/>
      <c r="D1875" s="121" t="s">
        <v>182</v>
      </c>
      <c r="E1875" s="251">
        <f>SUM(E1876:E1888)</f>
        <v>1355473950</v>
      </c>
      <c r="F1875" s="422">
        <f>SUM(F1876:F1888)</f>
        <v>197043000</v>
      </c>
      <c r="G1875" s="333">
        <f t="shared" si="109"/>
        <v>14.536834145724454</v>
      </c>
      <c r="H1875" s="333">
        <f>SUM(H1876:H1888)/13</f>
        <v>15.20366983819814</v>
      </c>
      <c r="I1875" s="111"/>
    </row>
    <row r="1876" spans="3:9" ht="16.5" hidden="1" customHeight="1" x14ac:dyDescent="0.25">
      <c r="C1876" s="226"/>
      <c r="D1876" s="118" t="s">
        <v>1557</v>
      </c>
      <c r="E1876" s="252">
        <v>39000000</v>
      </c>
      <c r="F1876" s="296">
        <v>0</v>
      </c>
      <c r="G1876" s="379">
        <f t="shared" si="109"/>
        <v>0</v>
      </c>
      <c r="H1876" s="379">
        <f t="shared" ref="H1876:H1888" si="111">G1876</f>
        <v>0</v>
      </c>
      <c r="I1876" s="111"/>
    </row>
    <row r="1877" spans="3:9" ht="30.75" hidden="1" customHeight="1" x14ac:dyDescent="0.25">
      <c r="C1877" s="226"/>
      <c r="D1877" s="118" t="s">
        <v>1558</v>
      </c>
      <c r="E1877" s="252">
        <v>108000000</v>
      </c>
      <c r="F1877" s="296">
        <v>40000000</v>
      </c>
      <c r="G1877" s="379">
        <f t="shared" si="109"/>
        <v>37.037037037037038</v>
      </c>
      <c r="H1877" s="379">
        <f t="shared" si="111"/>
        <v>37.037037037037038</v>
      </c>
      <c r="I1877" s="111"/>
    </row>
    <row r="1878" spans="3:9" ht="16.5" hidden="1" customHeight="1" x14ac:dyDescent="0.25">
      <c r="C1878" s="226"/>
      <c r="D1878" s="118" t="s">
        <v>1559</v>
      </c>
      <c r="E1878" s="252">
        <v>60000000</v>
      </c>
      <c r="F1878" s="296">
        <v>60000000</v>
      </c>
      <c r="G1878" s="379">
        <f t="shared" ref="G1878:G1904" si="112">+F1878/E1878*100</f>
        <v>100</v>
      </c>
      <c r="H1878" s="379">
        <f t="shared" si="111"/>
        <v>100</v>
      </c>
      <c r="I1878" s="111"/>
    </row>
    <row r="1879" spans="3:9" ht="16.5" hidden="1" customHeight="1" x14ac:dyDescent="0.25">
      <c r="C1879" s="226"/>
      <c r="D1879" s="118" t="s">
        <v>1560</v>
      </c>
      <c r="E1879" s="252">
        <v>102900000</v>
      </c>
      <c r="F1879" s="296">
        <v>0</v>
      </c>
      <c r="G1879" s="379">
        <f t="shared" si="112"/>
        <v>0</v>
      </c>
      <c r="H1879" s="379">
        <f t="shared" si="111"/>
        <v>0</v>
      </c>
      <c r="I1879" s="111"/>
    </row>
    <row r="1880" spans="3:9" ht="16.5" hidden="1" customHeight="1" x14ac:dyDescent="0.25">
      <c r="C1880" s="226"/>
      <c r="D1880" s="118" t="s">
        <v>1561</v>
      </c>
      <c r="E1880" s="252">
        <v>180000000</v>
      </c>
      <c r="F1880" s="296">
        <v>87506000</v>
      </c>
      <c r="G1880" s="379">
        <f t="shared" si="112"/>
        <v>48.614444444444445</v>
      </c>
      <c r="H1880" s="379">
        <f t="shared" si="111"/>
        <v>48.614444444444445</v>
      </c>
      <c r="I1880" s="111"/>
    </row>
    <row r="1881" spans="3:9" ht="30.75" hidden="1" customHeight="1" x14ac:dyDescent="0.25">
      <c r="C1881" s="226"/>
      <c r="D1881" s="118" t="s">
        <v>1562</v>
      </c>
      <c r="E1881" s="252">
        <v>60000000</v>
      </c>
      <c r="F1881" s="296">
        <v>0</v>
      </c>
      <c r="G1881" s="379">
        <f t="shared" si="112"/>
        <v>0</v>
      </c>
      <c r="H1881" s="379">
        <f t="shared" si="111"/>
        <v>0</v>
      </c>
      <c r="I1881" s="111"/>
    </row>
    <row r="1882" spans="3:9" ht="16.5" hidden="1" customHeight="1" x14ac:dyDescent="0.25">
      <c r="C1882" s="226"/>
      <c r="D1882" s="118" t="s">
        <v>1563</v>
      </c>
      <c r="E1882" s="252">
        <v>79500000</v>
      </c>
      <c r="F1882" s="296">
        <v>9537000</v>
      </c>
      <c r="G1882" s="379">
        <f t="shared" si="112"/>
        <v>11.996226415094339</v>
      </c>
      <c r="H1882" s="379">
        <f t="shared" si="111"/>
        <v>11.996226415094339</v>
      </c>
      <c r="I1882" s="111"/>
    </row>
    <row r="1883" spans="3:9" ht="16.5" hidden="1" customHeight="1" x14ac:dyDescent="0.25">
      <c r="C1883" s="226"/>
      <c r="D1883" s="118" t="s">
        <v>1564</v>
      </c>
      <c r="E1883" s="252">
        <v>165600000</v>
      </c>
      <c r="F1883" s="296">
        <v>0</v>
      </c>
      <c r="G1883" s="379">
        <f t="shared" si="112"/>
        <v>0</v>
      </c>
      <c r="H1883" s="379">
        <f t="shared" si="111"/>
        <v>0</v>
      </c>
      <c r="I1883" s="111"/>
    </row>
    <row r="1884" spans="3:9" ht="16.5" hidden="1" customHeight="1" x14ac:dyDescent="0.25">
      <c r="C1884" s="226"/>
      <c r="D1884" s="118" t="s">
        <v>1565</v>
      </c>
      <c r="E1884" s="252">
        <v>210000000</v>
      </c>
      <c r="F1884" s="296">
        <v>0</v>
      </c>
      <c r="G1884" s="379">
        <f t="shared" si="112"/>
        <v>0</v>
      </c>
      <c r="H1884" s="379">
        <f t="shared" si="111"/>
        <v>0</v>
      </c>
      <c r="I1884" s="111"/>
    </row>
    <row r="1885" spans="3:9" ht="16.5" hidden="1" customHeight="1" x14ac:dyDescent="0.25">
      <c r="C1885" s="226"/>
      <c r="D1885" s="118" t="s">
        <v>1566</v>
      </c>
      <c r="E1885" s="252">
        <v>150000000</v>
      </c>
      <c r="F1885" s="296">
        <v>0</v>
      </c>
      <c r="G1885" s="379">
        <f t="shared" si="112"/>
        <v>0</v>
      </c>
      <c r="H1885" s="379">
        <f t="shared" si="111"/>
        <v>0</v>
      </c>
      <c r="I1885" s="111"/>
    </row>
    <row r="1886" spans="3:9" ht="16.5" hidden="1" customHeight="1" x14ac:dyDescent="0.25">
      <c r="C1886" s="226"/>
      <c r="D1886" s="118" t="s">
        <v>1567</v>
      </c>
      <c r="E1886" s="252">
        <v>61722500</v>
      </c>
      <c r="F1886" s="296">
        <v>0</v>
      </c>
      <c r="G1886" s="379">
        <f t="shared" si="112"/>
        <v>0</v>
      </c>
      <c r="H1886" s="379">
        <f t="shared" si="111"/>
        <v>0</v>
      </c>
      <c r="I1886" s="111"/>
    </row>
    <row r="1887" spans="3:9" ht="16.5" hidden="1" customHeight="1" x14ac:dyDescent="0.25">
      <c r="C1887" s="226"/>
      <c r="D1887" s="118" t="s">
        <v>1568</v>
      </c>
      <c r="E1887" s="252">
        <v>75000000</v>
      </c>
      <c r="F1887" s="296">
        <v>0</v>
      </c>
      <c r="G1887" s="379">
        <f t="shared" si="112"/>
        <v>0</v>
      </c>
      <c r="H1887" s="379">
        <f t="shared" si="111"/>
        <v>0</v>
      </c>
      <c r="I1887" s="111"/>
    </row>
    <row r="1888" spans="3:9" ht="16.5" hidden="1" customHeight="1" x14ac:dyDescent="0.25">
      <c r="C1888" s="226"/>
      <c r="D1888" s="118" t="s">
        <v>1569</v>
      </c>
      <c r="E1888" s="252">
        <v>63751450</v>
      </c>
      <c r="F1888" s="296">
        <v>0</v>
      </c>
      <c r="G1888" s="379">
        <f t="shared" si="112"/>
        <v>0</v>
      </c>
      <c r="H1888" s="379">
        <f t="shared" si="111"/>
        <v>0</v>
      </c>
      <c r="I1888" s="111"/>
    </row>
    <row r="1889" spans="3:9" ht="16.5" hidden="1" customHeight="1" x14ac:dyDescent="0.25">
      <c r="C1889" s="226"/>
      <c r="D1889" s="121" t="s">
        <v>1570</v>
      </c>
      <c r="E1889" s="251">
        <f>+E1890</f>
        <v>137945000</v>
      </c>
      <c r="F1889" s="422">
        <f>+F1890</f>
        <v>54700000</v>
      </c>
      <c r="G1889" s="333">
        <f t="shared" si="112"/>
        <v>39.653485084635179</v>
      </c>
      <c r="H1889" s="333">
        <f>+H1890</f>
        <v>40</v>
      </c>
      <c r="I1889" s="111"/>
    </row>
    <row r="1890" spans="3:9" ht="16.5" hidden="1" customHeight="1" x14ac:dyDescent="0.25">
      <c r="C1890" s="226"/>
      <c r="D1890" s="118" t="s">
        <v>1571</v>
      </c>
      <c r="E1890" s="252">
        <v>137945000</v>
      </c>
      <c r="F1890" s="296">
        <v>54700000</v>
      </c>
      <c r="G1890" s="379">
        <f t="shared" si="112"/>
        <v>39.653485084635179</v>
      </c>
      <c r="H1890" s="379">
        <v>40</v>
      </c>
      <c r="I1890" s="111"/>
    </row>
    <row r="1891" spans="3:9" ht="16.5" hidden="1" customHeight="1" x14ac:dyDescent="0.25">
      <c r="C1891" s="226"/>
      <c r="D1891" s="121" t="s">
        <v>720</v>
      </c>
      <c r="E1891" s="251">
        <f>SUM(E1892:E1897)</f>
        <v>575170000</v>
      </c>
      <c r="F1891" s="422">
        <f>SUM(F1892:F1897)</f>
        <v>49500000</v>
      </c>
      <c r="G1891" s="333">
        <f t="shared" si="112"/>
        <v>8.6061512248552603</v>
      </c>
      <c r="H1891" s="333">
        <f>SUM(H1892:H1897)/3</f>
        <v>9.1666666666666679</v>
      </c>
      <c r="I1891" s="111"/>
    </row>
    <row r="1892" spans="3:9" ht="16.5" hidden="1" customHeight="1" x14ac:dyDescent="0.25">
      <c r="C1892" s="226"/>
      <c r="D1892" s="118" t="s">
        <v>1572</v>
      </c>
      <c r="E1892" s="252">
        <v>60000000</v>
      </c>
      <c r="F1892" s="296">
        <v>0</v>
      </c>
      <c r="G1892" s="379">
        <f t="shared" si="112"/>
        <v>0</v>
      </c>
      <c r="H1892" s="379">
        <f t="shared" ref="H1892:H1897" si="113">G1892</f>
        <v>0</v>
      </c>
      <c r="I1892" s="111"/>
    </row>
    <row r="1893" spans="3:9" ht="30.75" hidden="1" customHeight="1" x14ac:dyDescent="0.25">
      <c r="C1893" s="226"/>
      <c r="D1893" s="118" t="s">
        <v>1573</v>
      </c>
      <c r="E1893" s="252">
        <v>150000000</v>
      </c>
      <c r="F1893" s="296">
        <v>0</v>
      </c>
      <c r="G1893" s="379">
        <f t="shared" si="112"/>
        <v>0</v>
      </c>
      <c r="H1893" s="379">
        <f t="shared" si="113"/>
        <v>0</v>
      </c>
      <c r="I1893" s="111"/>
    </row>
    <row r="1894" spans="3:9" ht="30.75" hidden="1" customHeight="1" x14ac:dyDescent="0.25">
      <c r="C1894" s="226"/>
      <c r="D1894" s="118" t="s">
        <v>1574</v>
      </c>
      <c r="E1894" s="252">
        <v>54000000</v>
      </c>
      <c r="F1894" s="296">
        <v>0</v>
      </c>
      <c r="G1894" s="379">
        <f t="shared" si="112"/>
        <v>0</v>
      </c>
      <c r="H1894" s="379">
        <f t="shared" si="113"/>
        <v>0</v>
      </c>
      <c r="I1894" s="111"/>
    </row>
    <row r="1895" spans="3:9" ht="16.5" hidden="1" customHeight="1" x14ac:dyDescent="0.25">
      <c r="C1895" s="226"/>
      <c r="D1895" s="118" t="s">
        <v>1575</v>
      </c>
      <c r="E1895" s="252">
        <v>60000000</v>
      </c>
      <c r="F1895" s="296">
        <v>0</v>
      </c>
      <c r="G1895" s="379">
        <f t="shared" si="112"/>
        <v>0</v>
      </c>
      <c r="H1895" s="379">
        <f t="shared" si="113"/>
        <v>0</v>
      </c>
      <c r="I1895" s="111"/>
    </row>
    <row r="1896" spans="3:9" ht="16.5" hidden="1" customHeight="1" x14ac:dyDescent="0.25">
      <c r="C1896" s="226"/>
      <c r="D1896" s="118" t="s">
        <v>1576</v>
      </c>
      <c r="E1896" s="252">
        <v>71170000</v>
      </c>
      <c r="F1896" s="296">
        <v>0</v>
      </c>
      <c r="G1896" s="379">
        <f t="shared" si="112"/>
        <v>0</v>
      </c>
      <c r="H1896" s="379">
        <f t="shared" si="113"/>
        <v>0</v>
      </c>
      <c r="I1896" s="111"/>
    </row>
    <row r="1897" spans="3:9" ht="16.5" hidden="1" customHeight="1" x14ac:dyDescent="0.25">
      <c r="C1897" s="226"/>
      <c r="D1897" s="118" t="s">
        <v>1577</v>
      </c>
      <c r="E1897" s="252">
        <v>180000000</v>
      </c>
      <c r="F1897" s="296">
        <v>49500000</v>
      </c>
      <c r="G1897" s="379">
        <f t="shared" si="112"/>
        <v>27.500000000000004</v>
      </c>
      <c r="H1897" s="379">
        <f t="shared" si="113"/>
        <v>27.500000000000004</v>
      </c>
      <c r="I1897" s="111"/>
    </row>
    <row r="1898" spans="3:9" ht="16.5" hidden="1" customHeight="1" x14ac:dyDescent="0.25">
      <c r="C1898" s="226"/>
      <c r="D1898" s="121" t="s">
        <v>1578</v>
      </c>
      <c r="E1898" s="251">
        <f>+E1899</f>
        <v>220000000</v>
      </c>
      <c r="F1898" s="422">
        <f>+F1899</f>
        <v>0</v>
      </c>
      <c r="G1898" s="333">
        <f t="shared" si="112"/>
        <v>0</v>
      </c>
      <c r="H1898" s="333">
        <f>+H1899</f>
        <v>0</v>
      </c>
      <c r="I1898" s="111"/>
    </row>
    <row r="1899" spans="3:9" ht="30.75" hidden="1" customHeight="1" x14ac:dyDescent="0.25">
      <c r="C1899" s="226"/>
      <c r="D1899" s="118" t="s">
        <v>1579</v>
      </c>
      <c r="E1899" s="252">
        <v>220000000</v>
      </c>
      <c r="F1899" s="296">
        <v>0</v>
      </c>
      <c r="G1899" s="379">
        <f t="shared" si="112"/>
        <v>0</v>
      </c>
      <c r="H1899" s="379">
        <f>G1899</f>
        <v>0</v>
      </c>
      <c r="I1899" s="111"/>
    </row>
    <row r="1900" spans="3:9" ht="16.5" hidden="1" customHeight="1" x14ac:dyDescent="0.25">
      <c r="C1900" s="226"/>
      <c r="D1900" s="121" t="s">
        <v>202</v>
      </c>
      <c r="E1900" s="251">
        <f>SUM(E1901:E1904)</f>
        <v>4468000000</v>
      </c>
      <c r="F1900" s="422">
        <f>SUM(F1901:F1904)</f>
        <v>4242600000</v>
      </c>
      <c r="G1900" s="333">
        <f t="shared" si="112"/>
        <v>94.955237242614146</v>
      </c>
      <c r="H1900" s="333">
        <f>SUM(H1901:H1904)/2</f>
        <v>100</v>
      </c>
      <c r="I1900" s="111"/>
    </row>
    <row r="1901" spans="3:9" ht="30.75" hidden="1" customHeight="1" x14ac:dyDescent="0.25">
      <c r="C1901" s="226"/>
      <c r="D1901" s="118" t="s">
        <v>1580</v>
      </c>
      <c r="E1901" s="252">
        <v>30000000</v>
      </c>
      <c r="F1901" s="296">
        <v>30000000</v>
      </c>
      <c r="G1901" s="379">
        <f t="shared" si="112"/>
        <v>100</v>
      </c>
      <c r="H1901" s="379">
        <f>G1901</f>
        <v>100</v>
      </c>
      <c r="I1901" s="111"/>
    </row>
    <row r="1902" spans="3:9" ht="16.5" hidden="1" customHeight="1" x14ac:dyDescent="0.25">
      <c r="C1902" s="226"/>
      <c r="D1902" s="118" t="s">
        <v>1581</v>
      </c>
      <c r="E1902" s="252">
        <v>4278000000</v>
      </c>
      <c r="F1902" s="296">
        <v>4212600000</v>
      </c>
      <c r="G1902" s="379">
        <f t="shared" si="112"/>
        <v>98.471248246844326</v>
      </c>
      <c r="H1902" s="379">
        <v>100</v>
      </c>
      <c r="I1902" s="111"/>
    </row>
    <row r="1903" spans="3:9" ht="16.5" hidden="1" customHeight="1" x14ac:dyDescent="0.25">
      <c r="C1903" s="226"/>
      <c r="D1903" s="118" t="s">
        <v>1582</v>
      </c>
      <c r="E1903" s="252">
        <v>30000000</v>
      </c>
      <c r="F1903" s="296">
        <v>0</v>
      </c>
      <c r="G1903" s="379">
        <f t="shared" si="112"/>
        <v>0</v>
      </c>
      <c r="H1903" s="379">
        <f>G1903</f>
        <v>0</v>
      </c>
      <c r="I1903" s="111"/>
    </row>
    <row r="1904" spans="3:9" ht="16.5" hidden="1" customHeight="1" x14ac:dyDescent="0.25">
      <c r="C1904" s="226"/>
      <c r="D1904" s="118" t="s">
        <v>1583</v>
      </c>
      <c r="E1904" s="252">
        <v>130000000</v>
      </c>
      <c r="F1904" s="296">
        <v>0</v>
      </c>
      <c r="G1904" s="379">
        <f t="shared" si="112"/>
        <v>0</v>
      </c>
      <c r="H1904" s="379">
        <f>G1904</f>
        <v>0</v>
      </c>
      <c r="I1904" s="111"/>
    </row>
    <row r="1905" spans="3:9" ht="16.5" hidden="1" customHeight="1" x14ac:dyDescent="0.25">
      <c r="C1905" s="226"/>
      <c r="D1905" s="119"/>
      <c r="E1905" s="252"/>
      <c r="F1905" s="108"/>
      <c r="G1905" s="117"/>
      <c r="H1905" s="117"/>
      <c r="I1905" s="111"/>
    </row>
    <row r="1906" spans="3:9" ht="16.5" hidden="1" customHeight="1" x14ac:dyDescent="0.25">
      <c r="C1906" s="226"/>
      <c r="D1906" s="121" t="s">
        <v>854</v>
      </c>
      <c r="E1906" s="251">
        <f>+E1907+E1909</f>
        <v>6000000000</v>
      </c>
      <c r="F1906" s="422">
        <f>+F1907+F1909</f>
        <v>5276060623</v>
      </c>
      <c r="G1906" s="333">
        <f>+F1906/E1906*100</f>
        <v>87.93434371666666</v>
      </c>
      <c r="H1906" s="333">
        <f>(H1907+H1909)/2</f>
        <v>91.453269144132008</v>
      </c>
      <c r="I1906" s="111"/>
    </row>
    <row r="1907" spans="3:9" ht="16.5" hidden="1" customHeight="1" x14ac:dyDescent="0.25">
      <c r="C1907" s="226"/>
      <c r="D1907" s="121" t="s">
        <v>855</v>
      </c>
      <c r="E1907" s="251">
        <f>+E1908</f>
        <v>4295000000</v>
      </c>
      <c r="F1907" s="422">
        <f>+F1908</f>
        <v>3577791623</v>
      </c>
      <c r="G1907" s="333">
        <f>+F1907/E1907*100</f>
        <v>83.301318346915025</v>
      </c>
      <c r="H1907" s="333">
        <f>+H1908</f>
        <v>83.301318346915025</v>
      </c>
      <c r="I1907" s="111"/>
    </row>
    <row r="1908" spans="3:9" ht="30.75" hidden="1" customHeight="1" x14ac:dyDescent="0.25">
      <c r="C1908" s="226"/>
      <c r="D1908" s="118" t="s">
        <v>1584</v>
      </c>
      <c r="E1908" s="252">
        <v>4295000000</v>
      </c>
      <c r="F1908" s="296">
        <v>3577791623</v>
      </c>
      <c r="G1908" s="379">
        <f>+F1908/E1908*100</f>
        <v>83.301318346915025</v>
      </c>
      <c r="H1908" s="379">
        <f>G1908</f>
        <v>83.301318346915025</v>
      </c>
      <c r="I1908" s="111"/>
    </row>
    <row r="1909" spans="3:9" ht="16.5" hidden="1" customHeight="1" x14ac:dyDescent="0.25">
      <c r="C1909" s="226"/>
      <c r="D1909" s="121" t="s">
        <v>858</v>
      </c>
      <c r="E1909" s="251">
        <f>+E1910</f>
        <v>1705000000</v>
      </c>
      <c r="F1909" s="422">
        <f>+F1910</f>
        <v>1698269000</v>
      </c>
      <c r="G1909" s="333">
        <f>+F1909/E1909*100</f>
        <v>99.605219941348977</v>
      </c>
      <c r="H1909" s="333">
        <f>+H1910</f>
        <v>99.605219941348977</v>
      </c>
      <c r="I1909" s="111"/>
    </row>
    <row r="1910" spans="3:9" ht="30.75" hidden="1" customHeight="1" x14ac:dyDescent="0.25">
      <c r="C1910" s="226"/>
      <c r="D1910" s="118" t="s">
        <v>1585</v>
      </c>
      <c r="E1910" s="252">
        <v>1705000000</v>
      </c>
      <c r="F1910" s="296">
        <v>1698269000</v>
      </c>
      <c r="G1910" s="379">
        <f>+F1910/E1910*100</f>
        <v>99.605219941348977</v>
      </c>
      <c r="H1910" s="379">
        <f>G1910</f>
        <v>99.605219941348977</v>
      </c>
      <c r="I1910" s="111"/>
    </row>
    <row r="1911" spans="3:9" ht="16.5" hidden="1" customHeight="1" x14ac:dyDescent="0.25">
      <c r="C1911" s="226"/>
      <c r="D1911" s="119"/>
      <c r="E1911" s="252"/>
      <c r="F1911" s="108"/>
      <c r="G1911" s="117"/>
      <c r="H1911" s="117"/>
      <c r="I1911" s="111"/>
    </row>
    <row r="1912" spans="3:9" ht="16.5" hidden="1" customHeight="1" x14ac:dyDescent="0.25">
      <c r="C1912" s="226"/>
      <c r="D1912" s="121" t="s">
        <v>1586</v>
      </c>
      <c r="E1912" s="251">
        <f>+E1913</f>
        <v>10626488600</v>
      </c>
      <c r="F1912" s="422">
        <f>+F1913</f>
        <v>10595250000</v>
      </c>
      <c r="G1912" s="333">
        <f>+F1912/E1912*100</f>
        <v>99.706030833176627</v>
      </c>
      <c r="H1912" s="333">
        <f>+H1913</f>
        <v>100</v>
      </c>
      <c r="I1912" s="111"/>
    </row>
    <row r="1913" spans="3:9" ht="16.5" hidden="1" customHeight="1" x14ac:dyDescent="0.25">
      <c r="C1913" s="226"/>
      <c r="D1913" s="121" t="s">
        <v>729</v>
      </c>
      <c r="E1913" s="251">
        <f>SUM(E1914:E1914)</f>
        <v>10626488600</v>
      </c>
      <c r="F1913" s="422">
        <f>+F1914</f>
        <v>10595250000</v>
      </c>
      <c r="G1913" s="333">
        <f>+F1913/E1913*100</f>
        <v>99.706030833176627</v>
      </c>
      <c r="H1913" s="333">
        <f>+H1914</f>
        <v>100</v>
      </c>
      <c r="I1913" s="111"/>
    </row>
    <row r="1914" spans="3:9" ht="16.5" hidden="1" customHeight="1" x14ac:dyDescent="0.25">
      <c r="C1914" s="226"/>
      <c r="D1914" s="118" t="s">
        <v>1587</v>
      </c>
      <c r="E1914" s="252">
        <v>10626488600</v>
      </c>
      <c r="F1914" s="296">
        <v>10595250000</v>
      </c>
      <c r="G1914" s="379">
        <f>+F1914/E1914*100</f>
        <v>99.706030833176627</v>
      </c>
      <c r="H1914" s="379">
        <v>100</v>
      </c>
      <c r="I1914" s="111"/>
    </row>
    <row r="1915" spans="3:9" ht="16.5" hidden="1" customHeight="1" x14ac:dyDescent="0.25">
      <c r="C1915" s="226"/>
      <c r="D1915" s="249"/>
      <c r="E1915" s="251"/>
      <c r="F1915" s="108"/>
      <c r="G1915" s="117"/>
      <c r="H1915" s="117"/>
      <c r="I1915" s="111"/>
    </row>
    <row r="1916" spans="3:9" ht="16.5" hidden="1" customHeight="1" x14ac:dyDescent="0.25">
      <c r="C1916" s="226"/>
      <c r="D1916" s="121" t="s">
        <v>1588</v>
      </c>
      <c r="E1916" s="251">
        <f>+E1917+E1919</f>
        <v>2002083860</v>
      </c>
      <c r="F1916" s="422">
        <f>+F1917+F1919</f>
        <v>1597500000</v>
      </c>
      <c r="G1916" s="333">
        <f t="shared" ref="G1916:G1923" si="114">+F1916/E1916*100</f>
        <v>79.79186246474211</v>
      </c>
      <c r="H1916" s="333">
        <f>(H1917+H1919)/2</f>
        <v>95.610303706537479</v>
      </c>
      <c r="I1916" s="111"/>
    </row>
    <row r="1917" spans="3:9" ht="16.5" hidden="1" customHeight="1" x14ac:dyDescent="0.25">
      <c r="C1917" s="226"/>
      <c r="D1917" s="121" t="s">
        <v>330</v>
      </c>
      <c r="E1917" s="251">
        <f>+E1918</f>
        <v>250000000</v>
      </c>
      <c r="F1917" s="422">
        <f>+F1918</f>
        <v>250000000</v>
      </c>
      <c r="G1917" s="333">
        <f t="shared" si="114"/>
        <v>100</v>
      </c>
      <c r="H1917" s="333">
        <f>+H1918</f>
        <v>100</v>
      </c>
      <c r="I1917" s="111"/>
    </row>
    <row r="1918" spans="3:9" ht="16.5" hidden="1" customHeight="1" x14ac:dyDescent="0.25">
      <c r="C1918" s="226"/>
      <c r="D1918" s="118" t="s">
        <v>1589</v>
      </c>
      <c r="E1918" s="252">
        <v>250000000</v>
      </c>
      <c r="F1918" s="296">
        <v>250000000</v>
      </c>
      <c r="G1918" s="379">
        <f t="shared" si="114"/>
        <v>100</v>
      </c>
      <c r="H1918" s="379">
        <f>G1918</f>
        <v>100</v>
      </c>
      <c r="I1918" s="111"/>
    </row>
    <row r="1919" spans="3:9" ht="16.5" hidden="1" customHeight="1" x14ac:dyDescent="0.25">
      <c r="C1919" s="226"/>
      <c r="D1919" s="121" t="s">
        <v>792</v>
      </c>
      <c r="E1919" s="251">
        <f>SUM(E1920:E1923)</f>
        <v>1752083860</v>
      </c>
      <c r="F1919" s="422">
        <f>SUM(F1920:F1923)</f>
        <v>1347500000</v>
      </c>
      <c r="G1919" s="333">
        <f t="shared" si="114"/>
        <v>76.908419212308715</v>
      </c>
      <c r="H1919" s="333">
        <f>SUM(H1920:H1923)/4</f>
        <v>91.220607413074944</v>
      </c>
      <c r="I1919" s="111"/>
    </row>
    <row r="1920" spans="3:9" ht="30.75" hidden="1" customHeight="1" x14ac:dyDescent="0.25">
      <c r="C1920" s="226"/>
      <c r="D1920" s="118" t="s">
        <v>1590</v>
      </c>
      <c r="E1920" s="252">
        <v>1152083860</v>
      </c>
      <c r="F1920" s="296">
        <v>747500000</v>
      </c>
      <c r="G1920" s="379">
        <f t="shared" si="114"/>
        <v>64.882429652299791</v>
      </c>
      <c r="H1920" s="379">
        <f>+G1920</f>
        <v>64.882429652299791</v>
      </c>
      <c r="I1920" s="111"/>
    </row>
    <row r="1921" spans="3:9" ht="16.5" hidden="1" customHeight="1" x14ac:dyDescent="0.25">
      <c r="C1921" s="226"/>
      <c r="D1921" s="118" t="s">
        <v>1591</v>
      </c>
      <c r="E1921" s="252">
        <v>350000000</v>
      </c>
      <c r="F1921" s="296">
        <v>350000000</v>
      </c>
      <c r="G1921" s="379">
        <f t="shared" si="114"/>
        <v>100</v>
      </c>
      <c r="H1921" s="379">
        <f>G1921</f>
        <v>100</v>
      </c>
      <c r="I1921" s="111"/>
    </row>
    <row r="1922" spans="3:9" ht="16.5" hidden="1" customHeight="1" x14ac:dyDescent="0.25">
      <c r="C1922" s="226"/>
      <c r="D1922" s="118" t="s">
        <v>1592</v>
      </c>
      <c r="E1922" s="252">
        <v>150000000</v>
      </c>
      <c r="F1922" s="296">
        <v>150000000</v>
      </c>
      <c r="G1922" s="379">
        <f t="shared" si="114"/>
        <v>100</v>
      </c>
      <c r="H1922" s="379">
        <f>G1922</f>
        <v>100</v>
      </c>
      <c r="I1922" s="111"/>
    </row>
    <row r="1923" spans="3:9" ht="16.5" hidden="1" customHeight="1" x14ac:dyDescent="0.25">
      <c r="C1923" s="226"/>
      <c r="D1923" s="118" t="s">
        <v>1593</v>
      </c>
      <c r="E1923" s="252">
        <v>100000000</v>
      </c>
      <c r="F1923" s="296">
        <v>100000000</v>
      </c>
      <c r="G1923" s="379">
        <f t="shared" si="114"/>
        <v>100</v>
      </c>
      <c r="H1923" s="379">
        <f>G1923</f>
        <v>100</v>
      </c>
      <c r="I1923" s="111"/>
    </row>
    <row r="1924" spans="3:9" ht="16.5" hidden="1" customHeight="1" x14ac:dyDescent="0.25">
      <c r="C1924" s="226"/>
      <c r="D1924" s="118"/>
      <c r="E1924" s="252"/>
      <c r="F1924" s="108"/>
      <c r="G1924" s="117"/>
      <c r="H1924" s="117"/>
      <c r="I1924" s="111"/>
    </row>
    <row r="1925" spans="3:9" ht="16.5" hidden="1" customHeight="1" x14ac:dyDescent="0.25">
      <c r="C1925" s="226"/>
      <c r="D1925" s="121" t="s">
        <v>869</v>
      </c>
      <c r="E1925" s="251">
        <f>+E1926+E1928+E1930</f>
        <v>3394350000</v>
      </c>
      <c r="F1925" s="422">
        <f>+F1926+F1928+F1930</f>
        <v>3392900000</v>
      </c>
      <c r="G1925" s="333">
        <f t="shared" ref="G1925:G1931" si="115">+F1925/E1925*100</f>
        <v>99.95728195383505</v>
      </c>
      <c r="H1925" s="333">
        <f>(H1926+H1928+H1930)/3</f>
        <v>100</v>
      </c>
      <c r="I1925" s="111"/>
    </row>
    <row r="1926" spans="3:9" ht="16.5" hidden="1" customHeight="1" x14ac:dyDescent="0.25">
      <c r="C1926" s="226"/>
      <c r="D1926" s="121" t="s">
        <v>1285</v>
      </c>
      <c r="E1926" s="251">
        <f>+E1927</f>
        <v>408000000</v>
      </c>
      <c r="F1926" s="422">
        <f>+F1927</f>
        <v>408000000</v>
      </c>
      <c r="G1926" s="333">
        <f t="shared" si="115"/>
        <v>100</v>
      </c>
      <c r="H1926" s="333">
        <f>+H1927</f>
        <v>100</v>
      </c>
      <c r="I1926" s="111"/>
    </row>
    <row r="1927" spans="3:9" ht="16.5" hidden="1" customHeight="1" x14ac:dyDescent="0.25">
      <c r="C1927" s="226"/>
      <c r="D1927" s="118" t="s">
        <v>1594</v>
      </c>
      <c r="E1927" s="252">
        <v>408000000</v>
      </c>
      <c r="F1927" s="296">
        <v>408000000</v>
      </c>
      <c r="G1927" s="379">
        <f t="shared" si="115"/>
        <v>100</v>
      </c>
      <c r="H1927" s="379">
        <f>G1927</f>
        <v>100</v>
      </c>
      <c r="I1927" s="111"/>
    </row>
    <row r="1928" spans="3:9" ht="16.5" hidden="1" customHeight="1" x14ac:dyDescent="0.25">
      <c r="C1928" s="226"/>
      <c r="D1928" s="121" t="s">
        <v>1595</v>
      </c>
      <c r="E1928" s="251">
        <f>+E1929</f>
        <v>360000000</v>
      </c>
      <c r="F1928" s="422">
        <f>+F1929</f>
        <v>359700000</v>
      </c>
      <c r="G1928" s="333">
        <f t="shared" si="115"/>
        <v>99.916666666666671</v>
      </c>
      <c r="H1928" s="333">
        <f>+H1929</f>
        <v>100</v>
      </c>
      <c r="I1928" s="111"/>
    </row>
    <row r="1929" spans="3:9" ht="16.5" hidden="1" customHeight="1" x14ac:dyDescent="0.25">
      <c r="C1929" s="226"/>
      <c r="D1929" s="118" t="s">
        <v>1596</v>
      </c>
      <c r="E1929" s="252">
        <v>360000000</v>
      </c>
      <c r="F1929" s="296">
        <v>359700000</v>
      </c>
      <c r="G1929" s="379">
        <f t="shared" si="115"/>
        <v>99.916666666666671</v>
      </c>
      <c r="H1929" s="379">
        <v>100</v>
      </c>
      <c r="I1929" s="111"/>
    </row>
    <row r="1930" spans="3:9" ht="16.5" hidden="1" customHeight="1" x14ac:dyDescent="0.25">
      <c r="C1930" s="226"/>
      <c r="D1930" s="121" t="s">
        <v>1597</v>
      </c>
      <c r="E1930" s="251">
        <f>+E1931</f>
        <v>2626350000</v>
      </c>
      <c r="F1930" s="422">
        <f>+F1931</f>
        <v>2625200000</v>
      </c>
      <c r="G1930" s="333">
        <f t="shared" si="115"/>
        <v>99.956212995221506</v>
      </c>
      <c r="H1930" s="333">
        <f>+H1931</f>
        <v>100</v>
      </c>
      <c r="I1930" s="111"/>
    </row>
    <row r="1931" spans="3:9" ht="16.5" hidden="1" customHeight="1" x14ac:dyDescent="0.25">
      <c r="C1931" s="226"/>
      <c r="D1931" s="118" t="s">
        <v>1598</v>
      </c>
      <c r="E1931" s="252">
        <v>2626350000</v>
      </c>
      <c r="F1931" s="296">
        <v>2625200000</v>
      </c>
      <c r="G1931" s="379">
        <f t="shared" si="115"/>
        <v>99.956212995221506</v>
      </c>
      <c r="H1931" s="379">
        <v>100</v>
      </c>
      <c r="I1931" s="111"/>
    </row>
    <row r="1932" spans="3:9" ht="16.5" hidden="1" customHeight="1" x14ac:dyDescent="0.25">
      <c r="C1932" s="226"/>
      <c r="D1932" s="249"/>
      <c r="E1932" s="251"/>
      <c r="F1932" s="108"/>
      <c r="G1932" s="117"/>
      <c r="H1932" s="117"/>
      <c r="I1932" s="111"/>
    </row>
    <row r="1933" spans="3:9" ht="16.5" hidden="1" customHeight="1" x14ac:dyDescent="0.25">
      <c r="C1933" s="226"/>
      <c r="D1933" s="121" t="s">
        <v>873</v>
      </c>
      <c r="E1933" s="251">
        <f>+E1934</f>
        <v>150000000</v>
      </c>
      <c r="F1933" s="422">
        <f>+F1934</f>
        <v>150000000</v>
      </c>
      <c r="G1933" s="333">
        <f>+F1933/E1933*100</f>
        <v>100</v>
      </c>
      <c r="H1933" s="333">
        <f>+H1934</f>
        <v>100</v>
      </c>
      <c r="I1933" s="111"/>
    </row>
    <row r="1934" spans="3:9" ht="16.5" hidden="1" customHeight="1" x14ac:dyDescent="0.25">
      <c r="C1934" s="226"/>
      <c r="D1934" s="121" t="s">
        <v>874</v>
      </c>
      <c r="E1934" s="251">
        <f>+E1935</f>
        <v>150000000</v>
      </c>
      <c r="F1934" s="422">
        <f>+F1935</f>
        <v>150000000</v>
      </c>
      <c r="G1934" s="333">
        <f>+F1934/E1934*100</f>
        <v>100</v>
      </c>
      <c r="H1934" s="333">
        <f>+H1935</f>
        <v>100</v>
      </c>
      <c r="I1934" s="111"/>
    </row>
    <row r="1935" spans="3:9" ht="16.5" hidden="1" customHeight="1" x14ac:dyDescent="0.25">
      <c r="C1935" s="226"/>
      <c r="D1935" s="118" t="s">
        <v>1599</v>
      </c>
      <c r="E1935" s="252">
        <v>150000000</v>
      </c>
      <c r="F1935" s="296">
        <v>150000000</v>
      </c>
      <c r="G1935" s="379">
        <f>+F1935/E1935*100</f>
        <v>100</v>
      </c>
      <c r="H1935" s="379">
        <f>G1935</f>
        <v>100</v>
      </c>
      <c r="I1935" s="111"/>
    </row>
    <row r="1936" spans="3:9" ht="16.5" hidden="1" customHeight="1" x14ac:dyDescent="0.25">
      <c r="C1936" s="226"/>
      <c r="D1936" s="249"/>
      <c r="E1936" s="251"/>
      <c r="F1936" s="108"/>
      <c r="G1936" s="117"/>
      <c r="H1936" s="117"/>
      <c r="I1936" s="111"/>
    </row>
    <row r="1937" spans="3:9" ht="16.5" hidden="1" customHeight="1" x14ac:dyDescent="0.25">
      <c r="C1937" s="226"/>
      <c r="D1937" s="121" t="s">
        <v>1600</v>
      </c>
      <c r="E1937" s="251">
        <f>+E1938</f>
        <v>1000000000</v>
      </c>
      <c r="F1937" s="422">
        <f>+F1938</f>
        <v>1000000000</v>
      </c>
      <c r="G1937" s="333">
        <f t="shared" ref="G1937:G1942" si="116">+F1937/E1937*100</f>
        <v>100</v>
      </c>
      <c r="H1937" s="333">
        <f>+H1938</f>
        <v>100</v>
      </c>
      <c r="I1937" s="111"/>
    </row>
    <row r="1938" spans="3:9" ht="16.5" hidden="1" customHeight="1" x14ac:dyDescent="0.25">
      <c r="C1938" s="226"/>
      <c r="D1938" s="121" t="s">
        <v>299</v>
      </c>
      <c r="E1938" s="251">
        <f>SUM(E1939:E1942)</f>
        <v>1000000000</v>
      </c>
      <c r="F1938" s="422">
        <f>SUM(F1939:F1942)</f>
        <v>1000000000</v>
      </c>
      <c r="G1938" s="333">
        <f t="shared" si="116"/>
        <v>100</v>
      </c>
      <c r="H1938" s="333">
        <f>SUM(H1939:H1942)/4</f>
        <v>100</v>
      </c>
      <c r="I1938" s="111"/>
    </row>
    <row r="1939" spans="3:9" ht="16.5" hidden="1" customHeight="1" x14ac:dyDescent="0.25">
      <c r="C1939" s="226"/>
      <c r="D1939" s="118" t="s">
        <v>1601</v>
      </c>
      <c r="E1939" s="252">
        <v>300000000</v>
      </c>
      <c r="F1939" s="296">
        <v>300000000</v>
      </c>
      <c r="G1939" s="379">
        <f t="shared" si="116"/>
        <v>100</v>
      </c>
      <c r="H1939" s="379">
        <f>G1939</f>
        <v>100</v>
      </c>
      <c r="I1939" s="111"/>
    </row>
    <row r="1940" spans="3:9" ht="29.25" hidden="1" customHeight="1" x14ac:dyDescent="0.25">
      <c r="C1940" s="226"/>
      <c r="D1940" s="118" t="s">
        <v>1602</v>
      </c>
      <c r="E1940" s="252">
        <v>250000000</v>
      </c>
      <c r="F1940" s="296">
        <v>250000000</v>
      </c>
      <c r="G1940" s="379">
        <f t="shared" si="116"/>
        <v>100</v>
      </c>
      <c r="H1940" s="379">
        <f>G1940</f>
        <v>100</v>
      </c>
      <c r="I1940" s="111"/>
    </row>
    <row r="1941" spans="3:9" ht="16.5" hidden="1" customHeight="1" x14ac:dyDescent="0.25">
      <c r="C1941" s="226"/>
      <c r="D1941" s="118" t="s">
        <v>1603</v>
      </c>
      <c r="E1941" s="252">
        <v>250000000</v>
      </c>
      <c r="F1941" s="296">
        <v>250000000</v>
      </c>
      <c r="G1941" s="379">
        <f t="shared" si="116"/>
        <v>100</v>
      </c>
      <c r="H1941" s="379">
        <f>G1941</f>
        <v>100</v>
      </c>
      <c r="I1941" s="111"/>
    </row>
    <row r="1942" spans="3:9" ht="16.5" hidden="1" customHeight="1" x14ac:dyDescent="0.25">
      <c r="C1942" s="226"/>
      <c r="D1942" s="118" t="s">
        <v>1604</v>
      </c>
      <c r="E1942" s="252">
        <v>200000000</v>
      </c>
      <c r="F1942" s="296">
        <v>200000000</v>
      </c>
      <c r="G1942" s="379">
        <f t="shared" si="116"/>
        <v>100</v>
      </c>
      <c r="H1942" s="379">
        <f>G1942</f>
        <v>100</v>
      </c>
      <c r="I1942" s="111"/>
    </row>
    <row r="1943" spans="3:9" ht="16.5" hidden="1" customHeight="1" x14ac:dyDescent="0.25">
      <c r="C1943" s="226"/>
      <c r="D1943" s="118"/>
      <c r="E1943" s="252"/>
      <c r="F1943" s="108"/>
      <c r="G1943" s="117"/>
      <c r="H1943" s="117"/>
      <c r="I1943" s="111"/>
    </row>
    <row r="1944" spans="3:9" ht="16.5" hidden="1" customHeight="1" x14ac:dyDescent="0.25">
      <c r="C1944" s="226"/>
      <c r="D1944" s="121" t="s">
        <v>864</v>
      </c>
      <c r="E1944" s="251">
        <f>+E1945</f>
        <v>352084000</v>
      </c>
      <c r="F1944" s="422">
        <f>+F1945</f>
        <v>351764000</v>
      </c>
      <c r="G1944" s="333">
        <f>+F1944/E1944*100</f>
        <v>99.909112598129994</v>
      </c>
      <c r="H1944" s="333">
        <f>+H1945</f>
        <v>100</v>
      </c>
      <c r="I1944" s="111"/>
    </row>
    <row r="1945" spans="3:9" ht="16.5" hidden="1" customHeight="1" x14ac:dyDescent="0.25">
      <c r="C1945" s="226"/>
      <c r="D1945" s="121" t="s">
        <v>259</v>
      </c>
      <c r="E1945" s="251">
        <f>SUM(E1946:E1947)</f>
        <v>352084000</v>
      </c>
      <c r="F1945" s="422">
        <f>SUM(F1946:F1947)</f>
        <v>351764000</v>
      </c>
      <c r="G1945" s="333">
        <f>+F1945/E1945*100</f>
        <v>99.909112598129994</v>
      </c>
      <c r="H1945" s="333">
        <f>SUM(H1946:H1947)/2</f>
        <v>100</v>
      </c>
      <c r="I1945" s="111"/>
    </row>
    <row r="1946" spans="3:9" ht="29.25" hidden="1" customHeight="1" x14ac:dyDescent="0.25">
      <c r="C1946" s="226"/>
      <c r="D1946" s="118" t="s">
        <v>1605</v>
      </c>
      <c r="E1946" s="252">
        <v>152000000</v>
      </c>
      <c r="F1946" s="296">
        <v>151870000</v>
      </c>
      <c r="G1946" s="379">
        <f>+F1946/E1946*100</f>
        <v>99.91447368421052</v>
      </c>
      <c r="H1946" s="379">
        <v>100</v>
      </c>
      <c r="I1946" s="111"/>
    </row>
    <row r="1947" spans="3:9" ht="29.25" hidden="1" customHeight="1" x14ac:dyDescent="0.25">
      <c r="C1947" s="226"/>
      <c r="D1947" s="118" t="s">
        <v>1606</v>
      </c>
      <c r="E1947" s="252">
        <v>200084000</v>
      </c>
      <c r="F1947" s="296">
        <v>199894000</v>
      </c>
      <c r="G1947" s="379">
        <f>+F1947/E1947*100</f>
        <v>99.905039883249032</v>
      </c>
      <c r="H1947" s="379">
        <v>100</v>
      </c>
      <c r="I1947" s="111"/>
    </row>
    <row r="1948" spans="3:9" ht="16.5" hidden="1" customHeight="1" x14ac:dyDescent="0.25">
      <c r="C1948" s="226"/>
      <c r="D1948" s="249"/>
      <c r="E1948" s="251"/>
      <c r="F1948" s="108"/>
      <c r="G1948" s="117"/>
      <c r="H1948" s="117"/>
      <c r="I1948" s="111"/>
    </row>
    <row r="1949" spans="3:9" ht="16.5" hidden="1" customHeight="1" x14ac:dyDescent="0.25">
      <c r="C1949" s="226"/>
      <c r="D1949" s="121" t="s">
        <v>274</v>
      </c>
      <c r="E1949" s="251">
        <f>+E1950</f>
        <v>300000000</v>
      </c>
      <c r="F1949" s="422">
        <f>+F1950</f>
        <v>122400000</v>
      </c>
      <c r="G1949" s="333">
        <f>+F1949/E1949*100</f>
        <v>40.799999999999997</v>
      </c>
      <c r="H1949" s="333">
        <f>+H1950</f>
        <v>50</v>
      </c>
      <c r="I1949" s="111"/>
    </row>
    <row r="1950" spans="3:9" ht="16.5" hidden="1" customHeight="1" x14ac:dyDescent="0.25">
      <c r="C1950" s="226"/>
      <c r="D1950" s="121" t="s">
        <v>275</v>
      </c>
      <c r="E1950" s="251">
        <f>+E1951</f>
        <v>300000000</v>
      </c>
      <c r="F1950" s="422">
        <f>+F1951</f>
        <v>122400000</v>
      </c>
      <c r="G1950" s="333">
        <f>+F1950/E1950*100</f>
        <v>40.799999999999997</v>
      </c>
      <c r="H1950" s="333">
        <f>+H1951</f>
        <v>50</v>
      </c>
      <c r="I1950" s="111"/>
    </row>
    <row r="1951" spans="3:9" ht="16.5" hidden="1" customHeight="1" x14ac:dyDescent="0.25">
      <c r="C1951" s="226"/>
      <c r="D1951" s="118" t="s">
        <v>1607</v>
      </c>
      <c r="E1951" s="252">
        <v>300000000</v>
      </c>
      <c r="F1951" s="296">
        <v>122400000</v>
      </c>
      <c r="G1951" s="379">
        <f>+F1951/E1951*100</f>
        <v>40.799999999999997</v>
      </c>
      <c r="H1951" s="379">
        <v>50</v>
      </c>
      <c r="I1951" s="111"/>
    </row>
    <row r="1952" spans="3:9" ht="16.5" hidden="1" customHeight="1" x14ac:dyDescent="0.25">
      <c r="C1952" s="226"/>
      <c r="D1952" s="119"/>
      <c r="E1952" s="252"/>
      <c r="F1952" s="108"/>
      <c r="G1952" s="117"/>
      <c r="H1952" s="117"/>
      <c r="I1952" s="111"/>
    </row>
    <row r="1953" spans="3:9" ht="16.5" hidden="1" customHeight="1" x14ac:dyDescent="0.25">
      <c r="C1953" s="226"/>
      <c r="D1953" s="121" t="s">
        <v>1608</v>
      </c>
      <c r="E1953" s="251">
        <f>E1954</f>
        <v>700000000</v>
      </c>
      <c r="F1953" s="422">
        <f>F1954</f>
        <v>700000000</v>
      </c>
      <c r="G1953" s="333">
        <f t="shared" ref="G1953:G1958" si="117">+F1953/E1953*100</f>
        <v>100</v>
      </c>
      <c r="H1953" s="333">
        <f>+H1954</f>
        <v>100</v>
      </c>
      <c r="I1953" s="111"/>
    </row>
    <row r="1954" spans="3:9" ht="16.5" hidden="1" customHeight="1" x14ac:dyDescent="0.25">
      <c r="C1954" s="226"/>
      <c r="D1954" s="121" t="s">
        <v>275</v>
      </c>
      <c r="E1954" s="251">
        <f>SUM(E1955:E1958)</f>
        <v>700000000</v>
      </c>
      <c r="F1954" s="422">
        <f>SUM(F1955:F1958)</f>
        <v>700000000</v>
      </c>
      <c r="G1954" s="333">
        <f t="shared" si="117"/>
        <v>100</v>
      </c>
      <c r="H1954" s="333">
        <f>SUM(H1955:H1958)/4</f>
        <v>100</v>
      </c>
      <c r="I1954" s="111"/>
    </row>
    <row r="1955" spans="3:9" ht="16.5" hidden="1" customHeight="1" x14ac:dyDescent="0.25">
      <c r="C1955" s="226"/>
      <c r="D1955" s="118" t="s">
        <v>1609</v>
      </c>
      <c r="E1955" s="252">
        <v>200000000</v>
      </c>
      <c r="F1955" s="296">
        <v>200000000</v>
      </c>
      <c r="G1955" s="379">
        <f t="shared" si="117"/>
        <v>100</v>
      </c>
      <c r="H1955" s="379">
        <f>G1955</f>
        <v>100</v>
      </c>
      <c r="I1955" s="111"/>
    </row>
    <row r="1956" spans="3:9" ht="16.5" hidden="1" customHeight="1" x14ac:dyDescent="0.25">
      <c r="C1956" s="226"/>
      <c r="D1956" s="118" t="s">
        <v>1610</v>
      </c>
      <c r="E1956" s="252">
        <v>300000000</v>
      </c>
      <c r="F1956" s="296">
        <v>300000000</v>
      </c>
      <c r="G1956" s="379">
        <f t="shared" si="117"/>
        <v>100</v>
      </c>
      <c r="H1956" s="379">
        <f>G1956</f>
        <v>100</v>
      </c>
      <c r="I1956" s="111"/>
    </row>
    <row r="1957" spans="3:9" ht="16.5" hidden="1" customHeight="1" x14ac:dyDescent="0.25">
      <c r="C1957" s="226"/>
      <c r="D1957" s="118" t="s">
        <v>1611</v>
      </c>
      <c r="E1957" s="252">
        <v>100000000</v>
      </c>
      <c r="F1957" s="296">
        <v>100000000</v>
      </c>
      <c r="G1957" s="379">
        <f t="shared" si="117"/>
        <v>100</v>
      </c>
      <c r="H1957" s="379">
        <f>G1957</f>
        <v>100</v>
      </c>
      <c r="I1957" s="111"/>
    </row>
    <row r="1958" spans="3:9" ht="16.5" hidden="1" customHeight="1" x14ac:dyDescent="0.25">
      <c r="C1958" s="226"/>
      <c r="D1958" s="118" t="s">
        <v>1612</v>
      </c>
      <c r="E1958" s="252">
        <v>100000000</v>
      </c>
      <c r="F1958" s="296">
        <v>100000000</v>
      </c>
      <c r="G1958" s="379">
        <f t="shared" si="117"/>
        <v>100</v>
      </c>
      <c r="H1958" s="379">
        <f>G1958</f>
        <v>100</v>
      </c>
      <c r="I1958" s="111"/>
    </row>
    <row r="1959" spans="3:9" ht="16.5" hidden="1" customHeight="1" x14ac:dyDescent="0.25">
      <c r="C1959" s="226"/>
      <c r="D1959" s="118"/>
      <c r="E1959" s="252"/>
      <c r="F1959" s="108"/>
      <c r="G1959" s="117"/>
      <c r="H1959" s="117"/>
      <c r="I1959" s="111"/>
    </row>
    <row r="1960" spans="3:9" ht="16.5" hidden="1" customHeight="1" x14ac:dyDescent="0.25">
      <c r="C1960" s="226"/>
      <c r="D1960" s="121" t="s">
        <v>1613</v>
      </c>
      <c r="E1960" s="251">
        <f>+E1961+E1964+E1966</f>
        <v>2795000000</v>
      </c>
      <c r="F1960" s="422">
        <f>F1961+F1964+F1966</f>
        <v>2692850000</v>
      </c>
      <c r="G1960" s="333">
        <f t="shared" ref="G1960:G1974" si="118">+F1960/E1960*100</f>
        <v>96.345259391771023</v>
      </c>
      <c r="H1960" s="333">
        <f>+(H1961+H1964+H1966)/3</f>
        <v>95</v>
      </c>
      <c r="I1960" s="111"/>
    </row>
    <row r="1961" spans="3:9" ht="29.25" hidden="1" customHeight="1" x14ac:dyDescent="0.25">
      <c r="C1961" s="226"/>
      <c r="D1961" s="217" t="s">
        <v>364</v>
      </c>
      <c r="E1961" s="251">
        <f>+E1962+E1963</f>
        <v>550000000</v>
      </c>
      <c r="F1961" s="422">
        <f>SUM(F1962:F1963)</f>
        <v>464000000</v>
      </c>
      <c r="G1961" s="333">
        <f t="shared" si="118"/>
        <v>84.36363636363636</v>
      </c>
      <c r="H1961" s="333">
        <f>SUM(H1962:H1963)/2</f>
        <v>85</v>
      </c>
      <c r="I1961" s="111"/>
    </row>
    <row r="1962" spans="3:9" ht="16.5" hidden="1" customHeight="1" x14ac:dyDescent="0.25">
      <c r="C1962" s="226"/>
      <c r="D1962" s="118" t="s">
        <v>1614</v>
      </c>
      <c r="E1962" s="252">
        <v>350000000</v>
      </c>
      <c r="F1962" s="296">
        <v>350000000</v>
      </c>
      <c r="G1962" s="379">
        <f t="shared" si="118"/>
        <v>100</v>
      </c>
      <c r="H1962" s="379">
        <f>G1962</f>
        <v>100</v>
      </c>
      <c r="I1962" s="111"/>
    </row>
    <row r="1963" spans="3:9" ht="16.5" hidden="1" customHeight="1" x14ac:dyDescent="0.25">
      <c r="C1963" s="226"/>
      <c r="D1963" s="118" t="s">
        <v>1615</v>
      </c>
      <c r="E1963" s="252">
        <v>200000000</v>
      </c>
      <c r="F1963" s="296">
        <v>114000000</v>
      </c>
      <c r="G1963" s="379">
        <f t="shared" si="118"/>
        <v>56.999999999999993</v>
      </c>
      <c r="H1963" s="379">
        <v>70</v>
      </c>
      <c r="I1963" s="111"/>
    </row>
    <row r="1964" spans="3:9" ht="16.5" hidden="1" customHeight="1" x14ac:dyDescent="0.25">
      <c r="C1964" s="226"/>
      <c r="D1964" s="121" t="s">
        <v>370</v>
      </c>
      <c r="E1964" s="251">
        <f>+E1965</f>
        <v>175000000</v>
      </c>
      <c r="F1964" s="422">
        <f>+F1965</f>
        <v>168450000</v>
      </c>
      <c r="G1964" s="333">
        <f t="shared" si="118"/>
        <v>96.257142857142853</v>
      </c>
      <c r="H1964" s="333">
        <f>+H1965</f>
        <v>100</v>
      </c>
      <c r="I1964" s="111"/>
    </row>
    <row r="1965" spans="3:9" ht="18.75" hidden="1" customHeight="1" x14ac:dyDescent="0.25">
      <c r="C1965" s="226"/>
      <c r="D1965" s="118" t="s">
        <v>1616</v>
      </c>
      <c r="E1965" s="252">
        <v>175000000</v>
      </c>
      <c r="F1965" s="296">
        <v>168450000</v>
      </c>
      <c r="G1965" s="379">
        <f t="shared" si="118"/>
        <v>96.257142857142853</v>
      </c>
      <c r="H1965" s="379">
        <v>100</v>
      </c>
      <c r="I1965" s="111"/>
    </row>
    <row r="1966" spans="3:9" ht="18.75" hidden="1" customHeight="1" x14ac:dyDescent="0.25">
      <c r="C1966" s="226"/>
      <c r="D1966" s="121" t="s">
        <v>899</v>
      </c>
      <c r="E1966" s="251">
        <f>+E1967+E1968+E1969+E1970+E1971+E1972+E1973+E1974</f>
        <v>2070000000</v>
      </c>
      <c r="F1966" s="422">
        <f>SUM(F1967:F1974)</f>
        <v>2060400000</v>
      </c>
      <c r="G1966" s="333">
        <f t="shared" si="118"/>
        <v>99.536231884057969</v>
      </c>
      <c r="H1966" s="333">
        <f>SUM(H1967:H1974)/8</f>
        <v>100</v>
      </c>
      <c r="I1966" s="111"/>
    </row>
    <row r="1967" spans="3:9" ht="18.75" hidden="1" customHeight="1" x14ac:dyDescent="0.25">
      <c r="C1967" s="226"/>
      <c r="D1967" s="118" t="s">
        <v>1617</v>
      </c>
      <c r="E1967" s="252">
        <v>100000000</v>
      </c>
      <c r="F1967" s="296">
        <v>100000000</v>
      </c>
      <c r="G1967" s="379">
        <f t="shared" si="118"/>
        <v>100</v>
      </c>
      <c r="H1967" s="379">
        <f t="shared" ref="H1967:H1974" si="119">G1967</f>
        <v>100</v>
      </c>
      <c r="I1967" s="111"/>
    </row>
    <row r="1968" spans="3:9" ht="18.75" hidden="1" customHeight="1" x14ac:dyDescent="0.25">
      <c r="C1968" s="226"/>
      <c r="D1968" s="118" t="s">
        <v>1618</v>
      </c>
      <c r="E1968" s="252">
        <v>150000000</v>
      </c>
      <c r="F1968" s="296">
        <v>142300000</v>
      </c>
      <c r="G1968" s="379">
        <f t="shared" si="118"/>
        <v>94.86666666666666</v>
      </c>
      <c r="H1968" s="379">
        <v>100</v>
      </c>
      <c r="I1968" s="111"/>
    </row>
    <row r="1969" spans="3:9" ht="18.75" hidden="1" customHeight="1" x14ac:dyDescent="0.25">
      <c r="C1969" s="226"/>
      <c r="D1969" s="118" t="s">
        <v>1619</v>
      </c>
      <c r="E1969" s="252">
        <v>400000000</v>
      </c>
      <c r="F1969" s="296">
        <v>400000000</v>
      </c>
      <c r="G1969" s="379">
        <f t="shared" si="118"/>
        <v>100</v>
      </c>
      <c r="H1969" s="379">
        <f t="shared" si="119"/>
        <v>100</v>
      </c>
      <c r="I1969" s="111"/>
    </row>
    <row r="1970" spans="3:9" ht="16.5" hidden="1" customHeight="1" x14ac:dyDescent="0.25">
      <c r="C1970" s="226"/>
      <c r="D1970" s="118" t="s">
        <v>1620</v>
      </c>
      <c r="E1970" s="252">
        <v>100000000</v>
      </c>
      <c r="F1970" s="296">
        <v>100000000</v>
      </c>
      <c r="G1970" s="379">
        <f t="shared" si="118"/>
        <v>100</v>
      </c>
      <c r="H1970" s="379">
        <f t="shared" si="119"/>
        <v>100</v>
      </c>
      <c r="I1970" s="111"/>
    </row>
    <row r="1971" spans="3:9" ht="16.5" hidden="1" customHeight="1" x14ac:dyDescent="0.25">
      <c r="C1971" s="226"/>
      <c r="D1971" s="118" t="s">
        <v>1621</v>
      </c>
      <c r="E1971" s="252">
        <v>500000000</v>
      </c>
      <c r="F1971" s="296">
        <v>500000000</v>
      </c>
      <c r="G1971" s="379">
        <f t="shared" si="118"/>
        <v>100</v>
      </c>
      <c r="H1971" s="379">
        <f t="shared" si="119"/>
        <v>100</v>
      </c>
      <c r="I1971" s="111"/>
    </row>
    <row r="1972" spans="3:9" ht="16.5" hidden="1" customHeight="1" x14ac:dyDescent="0.25">
      <c r="C1972" s="226"/>
      <c r="D1972" s="118" t="s">
        <v>1622</v>
      </c>
      <c r="E1972" s="252">
        <v>600000000</v>
      </c>
      <c r="F1972" s="296">
        <v>598100000</v>
      </c>
      <c r="G1972" s="379">
        <f t="shared" si="118"/>
        <v>99.683333333333337</v>
      </c>
      <c r="H1972" s="379">
        <v>100</v>
      </c>
      <c r="I1972" s="111"/>
    </row>
    <row r="1973" spans="3:9" ht="16.5" hidden="1" customHeight="1" x14ac:dyDescent="0.25">
      <c r="C1973" s="389"/>
      <c r="D1973" s="118" t="s">
        <v>1623</v>
      </c>
      <c r="E1973" s="252">
        <v>100000000</v>
      </c>
      <c r="F1973" s="296">
        <v>100000000</v>
      </c>
      <c r="G1973" s="379">
        <f t="shared" si="118"/>
        <v>100</v>
      </c>
      <c r="H1973" s="379">
        <f t="shared" si="119"/>
        <v>100</v>
      </c>
      <c r="I1973" s="111"/>
    </row>
    <row r="1974" spans="3:9" ht="29.25" hidden="1" customHeight="1" x14ac:dyDescent="0.25">
      <c r="C1974" s="226"/>
      <c r="D1974" s="118" t="s">
        <v>1624</v>
      </c>
      <c r="E1974" s="252">
        <v>120000000</v>
      </c>
      <c r="F1974" s="296">
        <v>120000000</v>
      </c>
      <c r="G1974" s="379">
        <f t="shared" si="118"/>
        <v>100</v>
      </c>
      <c r="H1974" s="379">
        <f t="shared" si="119"/>
        <v>100</v>
      </c>
      <c r="I1974" s="111"/>
    </row>
    <row r="1975" spans="3:9" ht="16.5" hidden="1" customHeight="1" x14ac:dyDescent="0.25">
      <c r="C1975" s="226"/>
      <c r="D1975" s="249"/>
      <c r="E1975" s="251"/>
      <c r="F1975" s="108"/>
      <c r="G1975" s="117"/>
      <c r="H1975" s="117"/>
      <c r="I1975" s="111"/>
    </row>
    <row r="1976" spans="3:9" ht="16.5" hidden="1" customHeight="1" x14ac:dyDescent="0.25">
      <c r="C1976" s="226"/>
      <c r="D1976" s="121" t="s">
        <v>395</v>
      </c>
      <c r="E1976" s="251">
        <f>E1977</f>
        <v>500000000</v>
      </c>
      <c r="F1976" s="422">
        <f>F1977</f>
        <v>500000000</v>
      </c>
      <c r="G1976" s="333">
        <f>+F1976/E1976*100</f>
        <v>100</v>
      </c>
      <c r="H1976" s="333">
        <f>+H1977</f>
        <v>100</v>
      </c>
      <c r="I1976" s="111"/>
    </row>
    <row r="1977" spans="3:9" ht="16.5" hidden="1" customHeight="1" x14ac:dyDescent="0.25">
      <c r="C1977" s="226"/>
      <c r="D1977" s="121" t="s">
        <v>405</v>
      </c>
      <c r="E1977" s="251">
        <f>SUM(E1978:E1979)</f>
        <v>500000000</v>
      </c>
      <c r="F1977" s="422">
        <f>SUM(F1978:F1979)</f>
        <v>500000000</v>
      </c>
      <c r="G1977" s="333">
        <f>+F1977/E1977*100</f>
        <v>100</v>
      </c>
      <c r="H1977" s="333">
        <f>SUM(H1978:H1979)/2</f>
        <v>100</v>
      </c>
      <c r="I1977" s="111"/>
    </row>
    <row r="1978" spans="3:9" ht="16.5" hidden="1" customHeight="1" x14ac:dyDescent="0.25">
      <c r="C1978" s="389"/>
      <c r="D1978" s="118" t="s">
        <v>1625</v>
      </c>
      <c r="E1978" s="252">
        <v>200000000</v>
      </c>
      <c r="F1978" s="296">
        <v>200000000</v>
      </c>
      <c r="G1978" s="379">
        <f>+F1978/E1978*100</f>
        <v>100</v>
      </c>
      <c r="H1978" s="379">
        <f>G1978</f>
        <v>100</v>
      </c>
      <c r="I1978" s="111"/>
    </row>
    <row r="1979" spans="3:9" ht="16.5" hidden="1" customHeight="1" x14ac:dyDescent="0.25">
      <c r="C1979" s="226"/>
      <c r="D1979" s="118" t="s">
        <v>1626</v>
      </c>
      <c r="E1979" s="252">
        <v>300000000</v>
      </c>
      <c r="F1979" s="296">
        <v>300000000</v>
      </c>
      <c r="G1979" s="379">
        <f>+F1979/E1979*100</f>
        <v>100</v>
      </c>
      <c r="H1979" s="379">
        <f>G1979</f>
        <v>100</v>
      </c>
      <c r="I1979" s="111"/>
    </row>
    <row r="1980" spans="3:9" ht="16.5" hidden="1" customHeight="1" x14ac:dyDescent="0.25">
      <c r="C1980" s="226"/>
      <c r="D1980" s="119"/>
      <c r="E1980" s="252"/>
      <c r="F1980" s="108"/>
      <c r="G1980" s="117"/>
      <c r="H1980" s="117"/>
      <c r="I1980" s="111"/>
    </row>
    <row r="1981" spans="3:9" ht="16.5" hidden="1" customHeight="1" x14ac:dyDescent="0.25">
      <c r="C1981" s="389"/>
      <c r="D1981" s="121" t="s">
        <v>1627</v>
      </c>
      <c r="E1981" s="251">
        <f>+E1982+E1986</f>
        <v>9591251420</v>
      </c>
      <c r="F1981" s="422">
        <f>F1982+F1986</f>
        <v>9411000000</v>
      </c>
      <c r="G1981" s="333">
        <f t="shared" ref="G1981:G1987" si="120">+F1981/E1981*100</f>
        <v>98.120668387191543</v>
      </c>
      <c r="H1981" s="333">
        <f>(H1982+H1986)/2</f>
        <v>98.819141786126636</v>
      </c>
      <c r="I1981" s="111"/>
    </row>
    <row r="1982" spans="3:9" ht="16.5" hidden="1" customHeight="1" x14ac:dyDescent="0.25">
      <c r="C1982" s="389"/>
      <c r="D1982" s="121" t="s">
        <v>1628</v>
      </c>
      <c r="E1982" s="251">
        <f>SUM(E1983:E1985)</f>
        <v>7591251420</v>
      </c>
      <c r="F1982" s="422">
        <f>SUM(F1983:F1985)</f>
        <v>7411000000</v>
      </c>
      <c r="G1982" s="333">
        <f t="shared" si="120"/>
        <v>97.62553747692894</v>
      </c>
      <c r="H1982" s="333">
        <f>SUM(H1983:H1985)/3</f>
        <v>97.638283572253272</v>
      </c>
      <c r="I1982" s="111"/>
    </row>
    <row r="1983" spans="3:9" ht="16.5" hidden="1" customHeight="1" x14ac:dyDescent="0.25">
      <c r="C1983" s="389"/>
      <c r="D1983" s="118" t="s">
        <v>1629</v>
      </c>
      <c r="E1983" s="252">
        <v>2585000000</v>
      </c>
      <c r="F1983" s="296">
        <v>2405000000</v>
      </c>
      <c r="G1983" s="379">
        <f t="shared" si="120"/>
        <v>93.03675048355899</v>
      </c>
      <c r="H1983" s="379">
        <f>G1983</f>
        <v>93.03675048355899</v>
      </c>
      <c r="I1983" s="111"/>
    </row>
    <row r="1984" spans="3:9" ht="16.5" hidden="1" customHeight="1" x14ac:dyDescent="0.25">
      <c r="C1984" s="226"/>
      <c r="D1984" s="118" t="s">
        <v>1630</v>
      </c>
      <c r="E1984" s="252">
        <v>206251420</v>
      </c>
      <c r="F1984" s="296">
        <v>206000000</v>
      </c>
      <c r="G1984" s="379">
        <f t="shared" si="120"/>
        <v>99.878100233200811</v>
      </c>
      <c r="H1984" s="379">
        <f>G1984</f>
        <v>99.878100233200811</v>
      </c>
      <c r="I1984" s="111"/>
    </row>
    <row r="1985" spans="3:9" ht="16.5" hidden="1" customHeight="1" x14ac:dyDescent="0.25">
      <c r="C1985" s="226"/>
      <c r="D1985" s="118" t="s">
        <v>1631</v>
      </c>
      <c r="E1985" s="252">
        <v>4800000000</v>
      </c>
      <c r="F1985" s="296">
        <v>4800000000</v>
      </c>
      <c r="G1985" s="379">
        <f t="shared" si="120"/>
        <v>100</v>
      </c>
      <c r="H1985" s="379">
        <f>G1985</f>
        <v>100</v>
      </c>
      <c r="I1985" s="111"/>
    </row>
    <row r="1986" spans="3:9" ht="16.5" hidden="1" customHeight="1" x14ac:dyDescent="0.25">
      <c r="C1986" s="226"/>
      <c r="D1986" s="121" t="s">
        <v>1632</v>
      </c>
      <c r="E1986" s="251">
        <f>+E1987</f>
        <v>2000000000</v>
      </c>
      <c r="F1986" s="422">
        <f>+F1987</f>
        <v>2000000000</v>
      </c>
      <c r="G1986" s="333">
        <f t="shared" si="120"/>
        <v>100</v>
      </c>
      <c r="H1986" s="333">
        <f>+H1987</f>
        <v>100</v>
      </c>
      <c r="I1986" s="111"/>
    </row>
    <row r="1987" spans="3:9" ht="16.5" hidden="1" customHeight="1" x14ac:dyDescent="0.25">
      <c r="C1987" s="389"/>
      <c r="D1987" s="118" t="s">
        <v>1633</v>
      </c>
      <c r="E1987" s="252">
        <v>2000000000</v>
      </c>
      <c r="F1987" s="296">
        <v>2000000000</v>
      </c>
      <c r="G1987" s="379">
        <f t="shared" si="120"/>
        <v>100</v>
      </c>
      <c r="H1987" s="379">
        <f>G1987</f>
        <v>100</v>
      </c>
      <c r="I1987" s="111"/>
    </row>
    <row r="1988" spans="3:9" ht="16.5" hidden="1" customHeight="1" x14ac:dyDescent="0.25">
      <c r="C1988" s="226"/>
      <c r="D1988" s="118"/>
      <c r="E1988" s="252"/>
      <c r="F1988" s="253"/>
      <c r="G1988" s="331"/>
      <c r="H1988" s="117"/>
      <c r="I1988" s="111"/>
    </row>
    <row r="1989" spans="3:9" ht="16.5" hidden="1" customHeight="1" x14ac:dyDescent="0.25">
      <c r="C1989" s="226"/>
      <c r="D1989" s="121" t="s">
        <v>1634</v>
      </c>
      <c r="E1989" s="251">
        <f>E1990+E1993+E2000+E2002+E2005+E2009+E2011+E2016</f>
        <v>6512500000</v>
      </c>
      <c r="F1989" s="422">
        <f>F1990+F1993+F2000+F2002+F2005+F2009+F2011+F2016</f>
        <v>6361208000</v>
      </c>
      <c r="G1989" s="333">
        <f t="shared" ref="G1989:G2017" si="121">+F1989/E1989*100</f>
        <v>97.676898272552776</v>
      </c>
      <c r="H1989" s="333">
        <f>(H1990+H1993+H2000+H2002+H2005+H2009+H2011+H2016)/8</f>
        <v>95.782334087481146</v>
      </c>
      <c r="I1989" s="111"/>
    </row>
    <row r="1990" spans="3:9" ht="16.5" hidden="1" customHeight="1" x14ac:dyDescent="0.25">
      <c r="C1990" s="226"/>
      <c r="D1990" s="121" t="s">
        <v>486</v>
      </c>
      <c r="E1990" s="251">
        <f>+E1991+E1992</f>
        <v>360500000</v>
      </c>
      <c r="F1990" s="422">
        <f>SUM(F1991:F1992)</f>
        <v>311715000</v>
      </c>
      <c r="G1990" s="333">
        <f t="shared" si="121"/>
        <v>86.467406380027739</v>
      </c>
      <c r="H1990" s="333">
        <f>(H1991+H1992)/2</f>
        <v>77.925339366515843</v>
      </c>
      <c r="I1990" s="111"/>
    </row>
    <row r="1991" spans="3:9" ht="16.5" hidden="1" customHeight="1" x14ac:dyDescent="0.25">
      <c r="C1991" s="226"/>
      <c r="D1991" s="118" t="s">
        <v>1635</v>
      </c>
      <c r="E1991" s="252">
        <v>110500000</v>
      </c>
      <c r="F1991" s="296">
        <v>61715000</v>
      </c>
      <c r="G1991" s="379">
        <f t="shared" si="121"/>
        <v>55.850678733031678</v>
      </c>
      <c r="H1991" s="379">
        <f>G1991</f>
        <v>55.850678733031678</v>
      </c>
      <c r="I1991" s="111"/>
    </row>
    <row r="1992" spans="3:9" ht="16.5" hidden="1" customHeight="1" x14ac:dyDescent="0.25">
      <c r="C1992" s="226"/>
      <c r="D1992" s="118" t="s">
        <v>1636</v>
      </c>
      <c r="E1992" s="252">
        <v>250000000</v>
      </c>
      <c r="F1992" s="296">
        <v>250000000</v>
      </c>
      <c r="G1992" s="379">
        <f t="shared" si="121"/>
        <v>100</v>
      </c>
      <c r="H1992" s="379">
        <f>G1992</f>
        <v>100</v>
      </c>
      <c r="I1992" s="111"/>
    </row>
    <row r="1993" spans="3:9" ht="16.5" hidden="1" customHeight="1" x14ac:dyDescent="0.25">
      <c r="C1993" s="389"/>
      <c r="D1993" s="121" t="s">
        <v>1637</v>
      </c>
      <c r="E1993" s="251">
        <f>+E1994+E1995+E1996+E1997+E1998+E1999</f>
        <v>1745000000</v>
      </c>
      <c r="F1993" s="422">
        <f>SUM(F1994:F1999)</f>
        <v>1718010000</v>
      </c>
      <c r="G1993" s="333">
        <f t="shared" si="121"/>
        <v>98.453295128939828</v>
      </c>
      <c r="H1993" s="333">
        <f>SUM(H1994:H1999)/6</f>
        <v>98.333333333333329</v>
      </c>
      <c r="I1993" s="111"/>
    </row>
    <row r="1994" spans="3:9" ht="16.5" hidden="1" customHeight="1" x14ac:dyDescent="0.25">
      <c r="C1994" s="226"/>
      <c r="D1994" s="118" t="s">
        <v>1638</v>
      </c>
      <c r="E1994" s="252">
        <v>500000000</v>
      </c>
      <c r="F1994" s="296">
        <v>498400000</v>
      </c>
      <c r="G1994" s="379">
        <f t="shared" si="121"/>
        <v>99.68</v>
      </c>
      <c r="H1994" s="379">
        <v>100</v>
      </c>
      <c r="I1994" s="111"/>
    </row>
    <row r="1995" spans="3:9" ht="16.5" hidden="1" customHeight="1" x14ac:dyDescent="0.25">
      <c r="C1995" s="226"/>
      <c r="D1995" s="118" t="s">
        <v>1639</v>
      </c>
      <c r="E1995" s="252">
        <v>220000000</v>
      </c>
      <c r="F1995" s="296">
        <v>194910000</v>
      </c>
      <c r="G1995" s="379">
        <f t="shared" si="121"/>
        <v>88.595454545454544</v>
      </c>
      <c r="H1995" s="379">
        <v>90</v>
      </c>
      <c r="I1995" s="111"/>
    </row>
    <row r="1996" spans="3:9" ht="16.5" hidden="1" customHeight="1" x14ac:dyDescent="0.25">
      <c r="C1996" s="389"/>
      <c r="D1996" s="118" t="s">
        <v>1640</v>
      </c>
      <c r="E1996" s="252">
        <v>375000000</v>
      </c>
      <c r="F1996" s="296">
        <v>375000000</v>
      </c>
      <c r="G1996" s="379">
        <f t="shared" si="121"/>
        <v>100</v>
      </c>
      <c r="H1996" s="379">
        <f>G1996</f>
        <v>100</v>
      </c>
      <c r="I1996" s="111"/>
    </row>
    <row r="1997" spans="3:9" ht="16.5" hidden="1" customHeight="1" x14ac:dyDescent="0.25">
      <c r="C1997" s="226"/>
      <c r="D1997" s="118" t="s">
        <v>1641</v>
      </c>
      <c r="E1997" s="252">
        <v>350000000</v>
      </c>
      <c r="F1997" s="296">
        <v>350000000</v>
      </c>
      <c r="G1997" s="379">
        <f t="shared" si="121"/>
        <v>100</v>
      </c>
      <c r="H1997" s="379">
        <f>G1997</f>
        <v>100</v>
      </c>
      <c r="I1997" s="111"/>
    </row>
    <row r="1998" spans="3:9" ht="16.5" hidden="1" customHeight="1" x14ac:dyDescent="0.25">
      <c r="C1998" s="389"/>
      <c r="D1998" s="118" t="s">
        <v>1642</v>
      </c>
      <c r="E1998" s="252">
        <v>200000000</v>
      </c>
      <c r="F1998" s="296">
        <v>200000000</v>
      </c>
      <c r="G1998" s="379">
        <f t="shared" si="121"/>
        <v>100</v>
      </c>
      <c r="H1998" s="379">
        <f>G1998</f>
        <v>100</v>
      </c>
      <c r="I1998" s="111"/>
    </row>
    <row r="1999" spans="3:9" ht="16.5" hidden="1" customHeight="1" x14ac:dyDescent="0.25">
      <c r="C1999" s="389"/>
      <c r="D1999" s="118" t="s">
        <v>1643</v>
      </c>
      <c r="E1999" s="252">
        <v>100000000</v>
      </c>
      <c r="F1999" s="296">
        <v>99700000</v>
      </c>
      <c r="G1999" s="379">
        <f t="shared" si="121"/>
        <v>99.7</v>
      </c>
      <c r="H1999" s="379">
        <v>100</v>
      </c>
      <c r="I1999" s="111"/>
    </row>
    <row r="2000" spans="3:9" ht="16.5" hidden="1" customHeight="1" x14ac:dyDescent="0.25">
      <c r="C2000" s="389"/>
      <c r="D2000" s="121" t="s">
        <v>468</v>
      </c>
      <c r="E2000" s="251">
        <f>+E2001</f>
        <v>100000000</v>
      </c>
      <c r="F2000" s="422">
        <f>+F2001</f>
        <v>99500000</v>
      </c>
      <c r="G2000" s="333">
        <f t="shared" si="121"/>
        <v>99.5</v>
      </c>
      <c r="H2000" s="333">
        <f>+H2001</f>
        <v>100</v>
      </c>
      <c r="I2000" s="111"/>
    </row>
    <row r="2001" spans="3:9" ht="29.25" hidden="1" customHeight="1" x14ac:dyDescent="0.25">
      <c r="C2001" s="389"/>
      <c r="D2001" s="118" t="s">
        <v>1644</v>
      </c>
      <c r="E2001" s="252">
        <v>100000000</v>
      </c>
      <c r="F2001" s="296">
        <v>99500000</v>
      </c>
      <c r="G2001" s="379">
        <f t="shared" si="121"/>
        <v>99.5</v>
      </c>
      <c r="H2001" s="379">
        <v>100</v>
      </c>
      <c r="I2001" s="111"/>
    </row>
    <row r="2002" spans="3:9" ht="16.5" hidden="1" customHeight="1" x14ac:dyDescent="0.25">
      <c r="C2002" s="389"/>
      <c r="D2002" s="121" t="s">
        <v>496</v>
      </c>
      <c r="E2002" s="251">
        <f>+E2003+E2004</f>
        <v>374000000</v>
      </c>
      <c r="F2002" s="422">
        <f>SUM(F2003:F2004)</f>
        <v>359790000</v>
      </c>
      <c r="G2002" s="333">
        <f t="shared" si="121"/>
        <v>96.200534759358291</v>
      </c>
      <c r="H2002" s="333">
        <f>SUM(H2003:H2004)/2</f>
        <v>95</v>
      </c>
      <c r="I2002" s="111"/>
    </row>
    <row r="2003" spans="3:9" ht="16.5" hidden="1" customHeight="1" x14ac:dyDescent="0.25">
      <c r="C2003" s="389"/>
      <c r="D2003" s="118" t="s">
        <v>1645</v>
      </c>
      <c r="E2003" s="252">
        <v>300000000</v>
      </c>
      <c r="F2003" s="296">
        <v>298200000</v>
      </c>
      <c r="G2003" s="379">
        <f t="shared" si="121"/>
        <v>99.4</v>
      </c>
      <c r="H2003" s="379">
        <v>100</v>
      </c>
      <c r="I2003" s="111"/>
    </row>
    <row r="2004" spans="3:9" ht="29.25" hidden="1" customHeight="1" x14ac:dyDescent="0.25">
      <c r="C2004" s="226"/>
      <c r="D2004" s="118" t="s">
        <v>1646</v>
      </c>
      <c r="E2004" s="252">
        <v>74000000</v>
      </c>
      <c r="F2004" s="296">
        <v>61590000</v>
      </c>
      <c r="G2004" s="379">
        <f t="shared" si="121"/>
        <v>83.229729729729726</v>
      </c>
      <c r="H2004" s="379">
        <v>90</v>
      </c>
      <c r="I2004" s="111"/>
    </row>
    <row r="2005" spans="3:9" ht="16.5" hidden="1" customHeight="1" x14ac:dyDescent="0.25">
      <c r="C2005" s="226"/>
      <c r="D2005" s="121" t="s">
        <v>517</v>
      </c>
      <c r="E2005" s="251">
        <f>+E2006+E2007+E2008</f>
        <v>2043000000</v>
      </c>
      <c r="F2005" s="422">
        <f>SUM(F2006:F2008)</f>
        <v>1986890000</v>
      </c>
      <c r="G2005" s="333">
        <f t="shared" si="121"/>
        <v>97.253548702887912</v>
      </c>
      <c r="H2005" s="333">
        <f>SUM(H2006:H2008)/3</f>
        <v>95</v>
      </c>
      <c r="I2005" s="111"/>
    </row>
    <row r="2006" spans="3:9" ht="16.5" hidden="1" customHeight="1" x14ac:dyDescent="0.25">
      <c r="C2006" s="226"/>
      <c r="D2006" s="118" t="s">
        <v>1647</v>
      </c>
      <c r="E2006" s="252">
        <v>1743000000</v>
      </c>
      <c r="F2006" s="296">
        <v>1740000000</v>
      </c>
      <c r="G2006" s="379">
        <f t="shared" si="121"/>
        <v>99.827882960413078</v>
      </c>
      <c r="H2006" s="379">
        <v>100</v>
      </c>
      <c r="I2006" s="111"/>
    </row>
    <row r="2007" spans="3:9" ht="16.5" hidden="1" customHeight="1" x14ac:dyDescent="0.25">
      <c r="C2007" s="389"/>
      <c r="D2007" s="118" t="s">
        <v>1648</v>
      </c>
      <c r="E2007" s="252">
        <v>100000000</v>
      </c>
      <c r="F2007" s="296">
        <v>100000000</v>
      </c>
      <c r="G2007" s="379">
        <f t="shared" si="121"/>
        <v>100</v>
      </c>
      <c r="H2007" s="379">
        <f>G2007</f>
        <v>100</v>
      </c>
      <c r="I2007" s="111"/>
    </row>
    <row r="2008" spans="3:9" ht="16.5" hidden="1" customHeight="1" x14ac:dyDescent="0.25">
      <c r="C2008" s="389"/>
      <c r="D2008" s="118" t="s">
        <v>1649</v>
      </c>
      <c r="E2008" s="252">
        <v>200000000</v>
      </c>
      <c r="F2008" s="296">
        <v>146890000</v>
      </c>
      <c r="G2008" s="379">
        <f t="shared" si="121"/>
        <v>73.445000000000007</v>
      </c>
      <c r="H2008" s="379">
        <v>85</v>
      </c>
      <c r="I2008" s="111"/>
    </row>
    <row r="2009" spans="3:9" ht="16.5" hidden="1" customHeight="1" x14ac:dyDescent="0.25">
      <c r="C2009" s="389"/>
      <c r="D2009" s="121" t="s">
        <v>1650</v>
      </c>
      <c r="E2009" s="251">
        <f>+E2010</f>
        <v>220000000</v>
      </c>
      <c r="F2009" s="422">
        <f>+F2010</f>
        <v>220000000</v>
      </c>
      <c r="G2009" s="333">
        <f t="shared" si="121"/>
        <v>100</v>
      </c>
      <c r="H2009" s="333">
        <f>+H2010</f>
        <v>100</v>
      </c>
      <c r="I2009" s="111"/>
    </row>
    <row r="2010" spans="3:9" ht="16.5" hidden="1" customHeight="1" x14ac:dyDescent="0.25">
      <c r="C2010" s="389"/>
      <c r="D2010" s="118" t="s">
        <v>1651</v>
      </c>
      <c r="E2010" s="252">
        <v>220000000</v>
      </c>
      <c r="F2010" s="296">
        <v>220000000</v>
      </c>
      <c r="G2010" s="379">
        <f t="shared" si="121"/>
        <v>100</v>
      </c>
      <c r="H2010" s="379">
        <f>G2010</f>
        <v>100</v>
      </c>
      <c r="I2010" s="111"/>
    </row>
    <row r="2011" spans="3:9" ht="16.5" hidden="1" customHeight="1" x14ac:dyDescent="0.25">
      <c r="C2011" s="389"/>
      <c r="D2011" s="121" t="s">
        <v>1652</v>
      </c>
      <c r="E2011" s="251">
        <f>+E2012+E2013+E2014+E2015</f>
        <v>1450000000</v>
      </c>
      <c r="F2011" s="422">
        <f>SUM(F2012:F2015)</f>
        <v>1445303000</v>
      </c>
      <c r="G2011" s="333">
        <f t="shared" si="121"/>
        <v>99.676068965517246</v>
      </c>
      <c r="H2011" s="333">
        <f>SUM(H2012:H2015)/4</f>
        <v>100</v>
      </c>
      <c r="I2011" s="111"/>
    </row>
    <row r="2012" spans="3:9" ht="16.5" hidden="1" customHeight="1" x14ac:dyDescent="0.25">
      <c r="C2012" s="226"/>
      <c r="D2012" s="118" t="s">
        <v>1653</v>
      </c>
      <c r="E2012" s="252">
        <v>250000000</v>
      </c>
      <c r="F2012" s="296">
        <v>249300000</v>
      </c>
      <c r="G2012" s="379">
        <f t="shared" si="121"/>
        <v>99.72</v>
      </c>
      <c r="H2012" s="379">
        <v>100</v>
      </c>
      <c r="I2012" s="111"/>
    </row>
    <row r="2013" spans="3:9" ht="16.5" hidden="1" customHeight="1" x14ac:dyDescent="0.25">
      <c r="C2013" s="226"/>
      <c r="D2013" s="118" t="s">
        <v>1654</v>
      </c>
      <c r="E2013" s="252">
        <v>650000000</v>
      </c>
      <c r="F2013" s="296">
        <v>647035000</v>
      </c>
      <c r="G2013" s="379">
        <f t="shared" si="121"/>
        <v>99.543846153846147</v>
      </c>
      <c r="H2013" s="379">
        <v>100</v>
      </c>
      <c r="I2013" s="111"/>
    </row>
    <row r="2014" spans="3:9" ht="16.5" hidden="1" customHeight="1" x14ac:dyDescent="0.25">
      <c r="C2014" s="389"/>
      <c r="D2014" s="118" t="s">
        <v>1655</v>
      </c>
      <c r="E2014" s="252">
        <v>150000000</v>
      </c>
      <c r="F2014" s="296">
        <v>149620000</v>
      </c>
      <c r="G2014" s="379">
        <f t="shared" si="121"/>
        <v>99.746666666666655</v>
      </c>
      <c r="H2014" s="379">
        <v>100</v>
      </c>
      <c r="I2014" s="111"/>
    </row>
    <row r="2015" spans="3:9" ht="16.5" hidden="1" customHeight="1" x14ac:dyDescent="0.25">
      <c r="C2015" s="226"/>
      <c r="D2015" s="118" t="s">
        <v>1656</v>
      </c>
      <c r="E2015" s="252">
        <v>400000000</v>
      </c>
      <c r="F2015" s="296">
        <v>399348000</v>
      </c>
      <c r="G2015" s="379">
        <f t="shared" si="121"/>
        <v>99.837000000000003</v>
      </c>
      <c r="H2015" s="379">
        <v>100</v>
      </c>
      <c r="I2015" s="111"/>
    </row>
    <row r="2016" spans="3:9" ht="16.5" hidden="1" customHeight="1" x14ac:dyDescent="0.25">
      <c r="C2016" s="389"/>
      <c r="D2016" s="121" t="s">
        <v>477</v>
      </c>
      <c r="E2016" s="251">
        <f>+E2017</f>
        <v>220000000</v>
      </c>
      <c r="F2016" s="422">
        <f>+F2017</f>
        <v>220000000</v>
      </c>
      <c r="G2016" s="333">
        <f t="shared" si="121"/>
        <v>100</v>
      </c>
      <c r="H2016" s="333">
        <f>+H2017</f>
        <v>100</v>
      </c>
      <c r="I2016" s="111"/>
    </row>
    <row r="2017" spans="3:9" ht="16.5" hidden="1" customHeight="1" x14ac:dyDescent="0.25">
      <c r="C2017" s="226"/>
      <c r="D2017" s="118" t="s">
        <v>1657</v>
      </c>
      <c r="E2017" s="252">
        <v>220000000</v>
      </c>
      <c r="F2017" s="296">
        <v>220000000</v>
      </c>
      <c r="G2017" s="379">
        <f t="shared" si="121"/>
        <v>100</v>
      </c>
      <c r="H2017" s="379">
        <f>G2017</f>
        <v>100</v>
      </c>
      <c r="I2017" s="111"/>
    </row>
    <row r="2018" spans="3:9" ht="16.5" hidden="1" customHeight="1" x14ac:dyDescent="0.25">
      <c r="C2018" s="226"/>
      <c r="D2018" s="119"/>
      <c r="E2018" s="252"/>
      <c r="F2018" s="253"/>
      <c r="G2018" s="331"/>
      <c r="H2018" s="117"/>
      <c r="I2018" s="111"/>
    </row>
    <row r="2019" spans="3:9" ht="16.5" hidden="1" customHeight="1" x14ac:dyDescent="0.25">
      <c r="C2019" s="226"/>
      <c r="D2019" s="121" t="s">
        <v>429</v>
      </c>
      <c r="E2019" s="251">
        <f>E2020</f>
        <v>3000000000</v>
      </c>
      <c r="F2019" s="422">
        <f>F2020</f>
        <v>2698561000</v>
      </c>
      <c r="G2019" s="333">
        <f t="shared" ref="G2019:G2025" si="122">+F2019/E2019*100</f>
        <v>89.952033333333333</v>
      </c>
      <c r="H2019" s="333">
        <f>+H2020</f>
        <v>80</v>
      </c>
      <c r="I2019" s="111"/>
    </row>
    <row r="2020" spans="3:9" ht="16.5" hidden="1" customHeight="1" x14ac:dyDescent="0.25">
      <c r="C2020" s="226"/>
      <c r="D2020" s="121" t="s">
        <v>436</v>
      </c>
      <c r="E2020" s="251">
        <f>SUM(E2021:E2025)</f>
        <v>3000000000</v>
      </c>
      <c r="F2020" s="422">
        <f>SUM(F2021:F2025)</f>
        <v>2698561000</v>
      </c>
      <c r="G2020" s="333">
        <f t="shared" si="122"/>
        <v>89.952033333333333</v>
      </c>
      <c r="H2020" s="333">
        <f>(H2021+H2022+H2023+H2024+H2025)/5</f>
        <v>80</v>
      </c>
      <c r="I2020" s="111"/>
    </row>
    <row r="2021" spans="3:9" ht="16.5" hidden="1" customHeight="1" x14ac:dyDescent="0.25">
      <c r="C2021" s="226"/>
      <c r="D2021" s="118" t="s">
        <v>1658</v>
      </c>
      <c r="E2021" s="252">
        <v>300000000</v>
      </c>
      <c r="F2021" s="296">
        <v>0</v>
      </c>
      <c r="G2021" s="379">
        <f t="shared" si="122"/>
        <v>0</v>
      </c>
      <c r="H2021" s="379">
        <f>G2021</f>
        <v>0</v>
      </c>
      <c r="I2021" s="111"/>
    </row>
    <row r="2022" spans="3:9" ht="16.5" hidden="1" customHeight="1" x14ac:dyDescent="0.25">
      <c r="C2022" s="226"/>
      <c r="D2022" s="118" t="s">
        <v>1659</v>
      </c>
      <c r="E2022" s="252">
        <v>350000000</v>
      </c>
      <c r="F2022" s="296">
        <v>350000000</v>
      </c>
      <c r="G2022" s="379">
        <f t="shared" si="122"/>
        <v>100</v>
      </c>
      <c r="H2022" s="379">
        <f>G2022</f>
        <v>100</v>
      </c>
      <c r="I2022" s="111"/>
    </row>
    <row r="2023" spans="3:9" ht="16.5" hidden="1" customHeight="1" x14ac:dyDescent="0.25">
      <c r="C2023" s="226"/>
      <c r="D2023" s="118" t="s">
        <v>1660</v>
      </c>
      <c r="E2023" s="252">
        <v>350000000</v>
      </c>
      <c r="F2023" s="296">
        <v>350000000</v>
      </c>
      <c r="G2023" s="379">
        <f t="shared" si="122"/>
        <v>100</v>
      </c>
      <c r="H2023" s="379">
        <f>G2023</f>
        <v>100</v>
      </c>
      <c r="I2023" s="111"/>
    </row>
    <row r="2024" spans="3:9" ht="16.5" hidden="1" customHeight="1" x14ac:dyDescent="0.25">
      <c r="C2024" s="226"/>
      <c r="D2024" s="118" t="s">
        <v>1661</v>
      </c>
      <c r="E2024" s="252">
        <v>1500000000</v>
      </c>
      <c r="F2024" s="296">
        <v>1498611000</v>
      </c>
      <c r="G2024" s="379">
        <f t="shared" si="122"/>
        <v>99.907399999999996</v>
      </c>
      <c r="H2024" s="379">
        <v>100</v>
      </c>
      <c r="I2024" s="111"/>
    </row>
    <row r="2025" spans="3:9" ht="16.5" hidden="1" customHeight="1" x14ac:dyDescent="0.25">
      <c r="C2025" s="226"/>
      <c r="D2025" s="118" t="s">
        <v>1662</v>
      </c>
      <c r="E2025" s="252">
        <v>500000000</v>
      </c>
      <c r="F2025" s="296">
        <v>499950000</v>
      </c>
      <c r="G2025" s="379">
        <f t="shared" si="122"/>
        <v>99.99</v>
      </c>
      <c r="H2025" s="379">
        <v>100</v>
      </c>
      <c r="I2025" s="111"/>
    </row>
    <row r="2026" spans="3:9" ht="16.5" hidden="1" customHeight="1" x14ac:dyDescent="0.25">
      <c r="C2026" s="226"/>
      <c r="D2026" s="119"/>
      <c r="E2026" s="252"/>
      <c r="F2026" s="253"/>
      <c r="G2026" s="331"/>
      <c r="H2026" s="117"/>
      <c r="I2026" s="111"/>
    </row>
    <row r="2027" spans="3:9" ht="16.5" hidden="1" customHeight="1" x14ac:dyDescent="0.25">
      <c r="C2027" s="226"/>
      <c r="D2027" s="121" t="s">
        <v>765</v>
      </c>
      <c r="E2027" s="251">
        <f>E2028+E2030+E2037</f>
        <v>10418548270</v>
      </c>
      <c r="F2027" s="422">
        <f>F2028+F2030+F2037</f>
        <v>9905435800</v>
      </c>
      <c r="G2027" s="333">
        <f t="shared" ref="G2027:G2038" si="123">+F2027/E2027*100</f>
        <v>95.075009908266225</v>
      </c>
      <c r="H2027" s="333">
        <f>(H2028+H2030+H2037)/3</f>
        <v>98.8888888888889</v>
      </c>
      <c r="I2027" s="111"/>
    </row>
    <row r="2028" spans="3:9" ht="16.5" hidden="1" customHeight="1" x14ac:dyDescent="0.25">
      <c r="C2028" s="226"/>
      <c r="D2028" s="121" t="s">
        <v>766</v>
      </c>
      <c r="E2028" s="251">
        <f>E2029</f>
        <v>150000000</v>
      </c>
      <c r="F2028" s="422">
        <f>F2029</f>
        <v>150000000</v>
      </c>
      <c r="G2028" s="333">
        <f t="shared" si="123"/>
        <v>100</v>
      </c>
      <c r="H2028" s="333">
        <f>+H2029</f>
        <v>100</v>
      </c>
      <c r="I2028" s="111"/>
    </row>
    <row r="2029" spans="3:9" ht="29.25" hidden="1" customHeight="1" x14ac:dyDescent="0.25">
      <c r="C2029" s="226"/>
      <c r="D2029" s="118" t="s">
        <v>1663</v>
      </c>
      <c r="E2029" s="252">
        <v>150000000</v>
      </c>
      <c r="F2029" s="296">
        <v>150000000</v>
      </c>
      <c r="G2029" s="379">
        <f t="shared" si="123"/>
        <v>100</v>
      </c>
      <c r="H2029" s="379">
        <f>G2029</f>
        <v>100</v>
      </c>
      <c r="I2029" s="111"/>
    </row>
    <row r="2030" spans="3:9" ht="16.5" hidden="1" customHeight="1" x14ac:dyDescent="0.25">
      <c r="C2030" s="226"/>
      <c r="D2030" s="121" t="s">
        <v>418</v>
      </c>
      <c r="E2030" s="251">
        <f>+E2031+E2032+E2033+E2034+E2035+E2036</f>
        <v>3849990000</v>
      </c>
      <c r="F2030" s="422">
        <f>SUM(F2031:F2036)</f>
        <v>3517343500</v>
      </c>
      <c r="G2030" s="333">
        <f t="shared" si="123"/>
        <v>91.35980872677591</v>
      </c>
      <c r="H2030" s="333">
        <f>SUM(H2031:H2036)/6</f>
        <v>96.666666666666671</v>
      </c>
      <c r="I2030" s="111"/>
    </row>
    <row r="2031" spans="3:9" ht="16.5" hidden="1" customHeight="1" x14ac:dyDescent="0.25">
      <c r="C2031" s="226"/>
      <c r="D2031" s="118" t="s">
        <v>1664</v>
      </c>
      <c r="E2031" s="252">
        <v>994990000</v>
      </c>
      <c r="F2031" s="296">
        <v>686483500</v>
      </c>
      <c r="G2031" s="379">
        <f t="shared" si="123"/>
        <v>68.994009990050159</v>
      </c>
      <c r="H2031" s="379">
        <v>80</v>
      </c>
      <c r="I2031" s="111"/>
    </row>
    <row r="2032" spans="3:9" ht="16.5" hidden="1" customHeight="1" x14ac:dyDescent="0.25">
      <c r="C2032" s="389"/>
      <c r="D2032" s="118" t="s">
        <v>1665</v>
      </c>
      <c r="E2032" s="252">
        <v>160000000</v>
      </c>
      <c r="F2032" s="296">
        <v>160000000</v>
      </c>
      <c r="G2032" s="379">
        <f t="shared" si="123"/>
        <v>100</v>
      </c>
      <c r="H2032" s="379">
        <f>G2032</f>
        <v>100</v>
      </c>
      <c r="I2032" s="111"/>
    </row>
    <row r="2033" spans="3:9" ht="16.5" hidden="1" customHeight="1" x14ac:dyDescent="0.25">
      <c r="C2033" s="226"/>
      <c r="D2033" s="118" t="s">
        <v>1666</v>
      </c>
      <c r="E2033" s="252">
        <v>120000000</v>
      </c>
      <c r="F2033" s="296">
        <v>120000000</v>
      </c>
      <c r="G2033" s="379">
        <f t="shared" si="123"/>
        <v>100</v>
      </c>
      <c r="H2033" s="379">
        <f>G2033</f>
        <v>100</v>
      </c>
      <c r="I2033" s="111"/>
    </row>
    <row r="2034" spans="3:9" ht="16.5" hidden="1" customHeight="1" x14ac:dyDescent="0.25">
      <c r="C2034" s="226"/>
      <c r="D2034" s="118" t="s">
        <v>1667</v>
      </c>
      <c r="E2034" s="252">
        <v>160000000</v>
      </c>
      <c r="F2034" s="296">
        <v>160000000</v>
      </c>
      <c r="G2034" s="379">
        <f t="shared" si="123"/>
        <v>100</v>
      </c>
      <c r="H2034" s="379">
        <f>G2034</f>
        <v>100</v>
      </c>
      <c r="I2034" s="111"/>
    </row>
    <row r="2035" spans="3:9" ht="16.5" hidden="1" customHeight="1" x14ac:dyDescent="0.25">
      <c r="C2035" s="226"/>
      <c r="D2035" s="118" t="s">
        <v>1668</v>
      </c>
      <c r="E2035" s="252">
        <v>2065000000</v>
      </c>
      <c r="F2035" s="296">
        <v>2042260000</v>
      </c>
      <c r="G2035" s="379">
        <f t="shared" si="123"/>
        <v>98.898789346246971</v>
      </c>
      <c r="H2035" s="379">
        <v>100</v>
      </c>
      <c r="I2035" s="111"/>
    </row>
    <row r="2036" spans="3:9" ht="16.5" hidden="1" customHeight="1" x14ac:dyDescent="0.25">
      <c r="C2036" s="226"/>
      <c r="D2036" s="118" t="s">
        <v>1669</v>
      </c>
      <c r="E2036" s="252">
        <v>350000000</v>
      </c>
      <c r="F2036" s="296">
        <v>348600000</v>
      </c>
      <c r="G2036" s="379">
        <f t="shared" si="123"/>
        <v>99.6</v>
      </c>
      <c r="H2036" s="379">
        <v>100</v>
      </c>
      <c r="I2036" s="111"/>
    </row>
    <row r="2037" spans="3:9" ht="16.5" hidden="1" customHeight="1" x14ac:dyDescent="0.25">
      <c r="C2037" s="226"/>
      <c r="D2037" s="121" t="s">
        <v>768</v>
      </c>
      <c r="E2037" s="251">
        <f>+E2038</f>
        <v>6418558270</v>
      </c>
      <c r="F2037" s="422">
        <f>F2038</f>
        <v>6238092300</v>
      </c>
      <c r="G2037" s="333">
        <f t="shared" si="123"/>
        <v>97.188372179411559</v>
      </c>
      <c r="H2037" s="333">
        <f>+H2038</f>
        <v>100</v>
      </c>
      <c r="I2037" s="111"/>
    </row>
    <row r="2038" spans="3:9" ht="16.5" hidden="1" customHeight="1" x14ac:dyDescent="0.25">
      <c r="C2038" s="389"/>
      <c r="D2038" s="118" t="s">
        <v>1670</v>
      </c>
      <c r="E2038" s="252">
        <v>6418558270</v>
      </c>
      <c r="F2038" s="296">
        <v>6238092300</v>
      </c>
      <c r="G2038" s="379">
        <f t="shared" si="123"/>
        <v>97.188372179411559</v>
      </c>
      <c r="H2038" s="379">
        <v>100</v>
      </c>
      <c r="I2038" s="111"/>
    </row>
    <row r="2039" spans="3:9" ht="16.5" hidden="1" customHeight="1" x14ac:dyDescent="0.25">
      <c r="C2039" s="226"/>
      <c r="D2039" s="118"/>
      <c r="E2039" s="252"/>
      <c r="F2039" s="253"/>
      <c r="G2039" s="331"/>
      <c r="H2039" s="117"/>
      <c r="I2039" s="111"/>
    </row>
    <row r="2040" spans="3:9" ht="16.5" hidden="1" customHeight="1" x14ac:dyDescent="0.25">
      <c r="C2040" s="226"/>
      <c r="D2040" s="121" t="s">
        <v>549</v>
      </c>
      <c r="E2040" s="251">
        <f>E2041</f>
        <v>300000000</v>
      </c>
      <c r="F2040" s="254">
        <f>F2041</f>
        <v>299757250</v>
      </c>
      <c r="G2040" s="331">
        <f>+F2040/E2040*100</f>
        <v>99.919083333333333</v>
      </c>
      <c r="H2040" s="117">
        <v>100</v>
      </c>
      <c r="I2040" s="111"/>
    </row>
    <row r="2041" spans="3:9" ht="16.5" hidden="1" customHeight="1" x14ac:dyDescent="0.25">
      <c r="C2041" s="226"/>
      <c r="D2041" s="121" t="s">
        <v>1671</v>
      </c>
      <c r="E2041" s="251">
        <f>E2042</f>
        <v>300000000</v>
      </c>
      <c r="F2041" s="254">
        <f>F2042</f>
        <v>299757250</v>
      </c>
      <c r="G2041" s="331">
        <f>+F2041/E2041*100</f>
        <v>99.919083333333333</v>
      </c>
      <c r="H2041" s="117">
        <v>100</v>
      </c>
      <c r="I2041" s="111"/>
    </row>
    <row r="2042" spans="3:9" ht="19.5" hidden="1" customHeight="1" x14ac:dyDescent="0.25">
      <c r="C2042" s="226"/>
      <c r="D2042" s="118" t="s">
        <v>1672</v>
      </c>
      <c r="E2042" s="252">
        <v>300000000</v>
      </c>
      <c r="F2042" s="253">
        <v>299757250</v>
      </c>
      <c r="G2042" s="365">
        <f>+F2042/E2042*100</f>
        <v>99.919083333333333</v>
      </c>
      <c r="H2042" s="117">
        <v>100</v>
      </c>
      <c r="I2042" s="111"/>
    </row>
    <row r="2043" spans="3:9" ht="16.5" hidden="1" customHeight="1" x14ac:dyDescent="0.25">
      <c r="C2043" s="109"/>
      <c r="D2043" s="111"/>
      <c r="E2043" s="107"/>
      <c r="F2043" s="108"/>
      <c r="G2043" s="117"/>
      <c r="H2043" s="117"/>
      <c r="I2043" s="111"/>
    </row>
    <row r="2044" spans="3:9" ht="16.5" customHeight="1" x14ac:dyDescent="0.25">
      <c r="C2044" s="222" t="s">
        <v>1673</v>
      </c>
      <c r="D2044" s="255" t="s">
        <v>1674</v>
      </c>
      <c r="E2044" s="168">
        <f>+E2045+E2096+E2128+E2132+E2139+E2145+E2149+E2157+E2164+E2177+E2181+E2190+E2194+E2198+E2205+E2209+E2214+E2224+E2238+E2247+E2251+E2256+E2260</f>
        <v>115559753000</v>
      </c>
      <c r="F2044" s="113">
        <f>+F2045+F2096+F2128+F2132+F2139+F2145+F2149+F2157+F2164+F2177+F2181+F2190+F2194+F2198+F2205+F2209+F2214+F2224+F2238+F2247+F2251+F2256+F2260</f>
        <v>92988016820</v>
      </c>
      <c r="G2044" s="114">
        <f t="shared" ref="G2044:G2075" si="124">+F2044/E2044*100</f>
        <v>80.467476267451005</v>
      </c>
      <c r="H2044" s="114">
        <f>(H2045+H2096+H2128+H2132+H2139+H2145+H2149+H2157+H2164+H2177+H2181+H2190+H2194+H2198+H2205+H2209+H2214+H2224+H2238+H2247+H2251+H2256+H2260)/23</f>
        <v>91.329493229748707</v>
      </c>
      <c r="I2044" s="111" t="s">
        <v>677</v>
      </c>
    </row>
    <row r="2045" spans="3:9" ht="16.5" hidden="1" customHeight="1" x14ac:dyDescent="0.25">
      <c r="C2045" s="226"/>
      <c r="D2045" s="217" t="s">
        <v>82</v>
      </c>
      <c r="E2045" s="256">
        <f>E2046+E2058+E2074+E2078+E2083+E2088+E2093</f>
        <v>17933925900</v>
      </c>
      <c r="F2045" s="113">
        <f>F2046+F2058+F2074+F2078+F2083+F2088+F2093</f>
        <v>7188811500</v>
      </c>
      <c r="G2045" s="331">
        <f t="shared" si="124"/>
        <v>40.084984961379817</v>
      </c>
      <c r="H2045" s="114">
        <f>(H2046+H2058+H2074+H2078+H2083+H2088+H2093)/7</f>
        <v>43.436447425183758</v>
      </c>
      <c r="I2045" s="111"/>
    </row>
    <row r="2046" spans="3:9" s="115" customFormat="1" ht="16.5" hidden="1" customHeight="1" x14ac:dyDescent="0.25">
      <c r="C2046" s="222"/>
      <c r="D2046" s="217" t="s">
        <v>797</v>
      </c>
      <c r="E2046" s="256">
        <f>SUM(E2047:E2057)</f>
        <v>3692200000</v>
      </c>
      <c r="F2046" s="113">
        <f>SUM(F2047:F2057)</f>
        <v>1614890500</v>
      </c>
      <c r="G2046" s="331">
        <f t="shared" si="124"/>
        <v>43.73789339689074</v>
      </c>
      <c r="H2046" s="114">
        <f>SUM(H2047:H2057)/11</f>
        <v>33.388797979797978</v>
      </c>
      <c r="I2046" s="121"/>
    </row>
    <row r="2047" spans="3:9" ht="17.25" hidden="1" customHeight="1" x14ac:dyDescent="0.25">
      <c r="C2047" s="226"/>
      <c r="D2047" s="119" t="s">
        <v>1675</v>
      </c>
      <c r="E2047" s="257">
        <v>450000000</v>
      </c>
      <c r="F2047" s="253">
        <v>133050500</v>
      </c>
      <c r="G2047" s="365">
        <f t="shared" si="124"/>
        <v>29.566777777777776</v>
      </c>
      <c r="H2047" s="117">
        <f>+G2047</f>
        <v>29.566777777777776</v>
      </c>
      <c r="I2047" s="111"/>
    </row>
    <row r="2048" spans="3:9" ht="17.25" hidden="1" customHeight="1" x14ac:dyDescent="0.25">
      <c r="C2048" s="226"/>
      <c r="D2048" s="119" t="s">
        <v>1676</v>
      </c>
      <c r="E2048" s="257">
        <v>768000000</v>
      </c>
      <c r="F2048" s="108">
        <v>768000000</v>
      </c>
      <c r="G2048" s="365">
        <f t="shared" si="124"/>
        <v>100</v>
      </c>
      <c r="H2048" s="117">
        <f t="shared" ref="H2048:H2111" si="125">+G2048</f>
        <v>100</v>
      </c>
      <c r="I2048" s="111"/>
    </row>
    <row r="2049" spans="3:9" ht="17.25" hidden="1" customHeight="1" x14ac:dyDescent="0.25">
      <c r="C2049" s="389"/>
      <c r="D2049" s="119" t="s">
        <v>1677</v>
      </c>
      <c r="E2049" s="257">
        <v>100000000</v>
      </c>
      <c r="F2049" s="253">
        <v>9000000</v>
      </c>
      <c r="G2049" s="365">
        <f t="shared" si="124"/>
        <v>9</v>
      </c>
      <c r="H2049" s="117">
        <f t="shared" si="125"/>
        <v>9</v>
      </c>
      <c r="I2049" s="111"/>
    </row>
    <row r="2050" spans="3:9" ht="17.25" hidden="1" customHeight="1" x14ac:dyDescent="0.25">
      <c r="C2050" s="226"/>
      <c r="D2050" s="119" t="s">
        <v>1678</v>
      </c>
      <c r="E2050" s="257">
        <v>270000000</v>
      </c>
      <c r="F2050" s="108">
        <v>270000000</v>
      </c>
      <c r="G2050" s="365">
        <f t="shared" si="124"/>
        <v>100</v>
      </c>
      <c r="H2050" s="117">
        <f t="shared" si="125"/>
        <v>100</v>
      </c>
      <c r="I2050" s="111"/>
    </row>
    <row r="2051" spans="3:9" ht="17.25" hidden="1" customHeight="1" x14ac:dyDescent="0.25">
      <c r="C2051" s="226"/>
      <c r="D2051" s="119" t="s">
        <v>1679</v>
      </c>
      <c r="E2051" s="257">
        <v>384000000</v>
      </c>
      <c r="F2051" s="253">
        <v>0</v>
      </c>
      <c r="G2051" s="365">
        <f t="shared" si="124"/>
        <v>0</v>
      </c>
      <c r="H2051" s="117">
        <f t="shared" si="125"/>
        <v>0</v>
      </c>
      <c r="I2051" s="111"/>
    </row>
    <row r="2052" spans="3:9" ht="17.25" hidden="1" customHeight="1" x14ac:dyDescent="0.25">
      <c r="C2052" s="226"/>
      <c r="D2052" s="119" t="s">
        <v>1680</v>
      </c>
      <c r="E2052" s="257">
        <v>300000000</v>
      </c>
      <c r="F2052" s="253">
        <v>0</v>
      </c>
      <c r="G2052" s="365">
        <f t="shared" si="124"/>
        <v>0</v>
      </c>
      <c r="H2052" s="117">
        <f t="shared" si="125"/>
        <v>0</v>
      </c>
      <c r="I2052" s="111"/>
    </row>
    <row r="2053" spans="3:9" ht="17.25" hidden="1" customHeight="1" x14ac:dyDescent="0.25">
      <c r="C2053" s="226"/>
      <c r="D2053" s="119" t="s">
        <v>1681</v>
      </c>
      <c r="E2053" s="257">
        <v>200200000</v>
      </c>
      <c r="F2053" s="253">
        <v>0</v>
      </c>
      <c r="G2053" s="365">
        <f t="shared" si="124"/>
        <v>0</v>
      </c>
      <c r="H2053" s="117">
        <f t="shared" si="125"/>
        <v>0</v>
      </c>
      <c r="I2053" s="111"/>
    </row>
    <row r="2054" spans="3:9" ht="17.25" hidden="1" customHeight="1" x14ac:dyDescent="0.25">
      <c r="C2054" s="226"/>
      <c r="D2054" s="119" t="s">
        <v>1682</v>
      </c>
      <c r="E2054" s="257">
        <v>400000000</v>
      </c>
      <c r="F2054" s="253">
        <v>114840000</v>
      </c>
      <c r="G2054" s="365">
        <f t="shared" si="124"/>
        <v>28.71</v>
      </c>
      <c r="H2054" s="117">
        <f t="shared" si="125"/>
        <v>28.71</v>
      </c>
      <c r="I2054" s="111"/>
    </row>
    <row r="2055" spans="3:9" ht="17.25" hidden="1" customHeight="1" x14ac:dyDescent="0.25">
      <c r="C2055" s="226"/>
      <c r="D2055" s="119" t="s">
        <v>1683</v>
      </c>
      <c r="E2055" s="257">
        <v>100000000</v>
      </c>
      <c r="F2055" s="253">
        <v>0</v>
      </c>
      <c r="G2055" s="365">
        <f t="shared" si="124"/>
        <v>0</v>
      </c>
      <c r="H2055" s="117">
        <f t="shared" si="125"/>
        <v>0</v>
      </c>
      <c r="I2055" s="111"/>
    </row>
    <row r="2056" spans="3:9" ht="17.25" hidden="1" customHeight="1" x14ac:dyDescent="0.25">
      <c r="C2056" s="226"/>
      <c r="D2056" s="119" t="s">
        <v>1684</v>
      </c>
      <c r="E2056" s="257">
        <v>400000000</v>
      </c>
      <c r="F2056" s="253">
        <v>0</v>
      </c>
      <c r="G2056" s="365">
        <f t="shared" si="124"/>
        <v>0</v>
      </c>
      <c r="H2056" s="117">
        <f t="shared" si="125"/>
        <v>0</v>
      </c>
      <c r="I2056" s="111"/>
    </row>
    <row r="2057" spans="3:9" ht="17.25" hidden="1" customHeight="1" x14ac:dyDescent="0.25">
      <c r="C2057" s="226"/>
      <c r="D2057" s="119" t="s">
        <v>1685</v>
      </c>
      <c r="E2057" s="257">
        <v>320000000</v>
      </c>
      <c r="F2057" s="253">
        <v>320000000</v>
      </c>
      <c r="G2057" s="365">
        <f t="shared" si="124"/>
        <v>100</v>
      </c>
      <c r="H2057" s="117">
        <f t="shared" si="125"/>
        <v>100</v>
      </c>
      <c r="I2057" s="111"/>
    </row>
    <row r="2058" spans="3:9" s="115" customFormat="1" ht="16.5" hidden="1" customHeight="1" x14ac:dyDescent="0.25">
      <c r="C2058" s="222"/>
      <c r="D2058" s="249" t="s">
        <v>680</v>
      </c>
      <c r="E2058" s="120">
        <f>SUM(E2059:E2073)</f>
        <v>10219725900</v>
      </c>
      <c r="F2058" s="113">
        <f>SUM(F2059:F2073)</f>
        <v>3452511000</v>
      </c>
      <c r="G2058" s="331">
        <f t="shared" si="124"/>
        <v>33.782814077234697</v>
      </c>
      <c r="H2058" s="114">
        <f>SUM(H2059:H2073)/15</f>
        <v>22.292443722675479</v>
      </c>
      <c r="I2058" s="121"/>
    </row>
    <row r="2059" spans="3:9" ht="17.25" hidden="1" customHeight="1" x14ac:dyDescent="0.25">
      <c r="C2059" s="226"/>
      <c r="D2059" s="118" t="s">
        <v>1686</v>
      </c>
      <c r="E2059" s="107">
        <v>28300000</v>
      </c>
      <c r="F2059" s="253">
        <v>0</v>
      </c>
      <c r="G2059" s="365">
        <f t="shared" si="124"/>
        <v>0</v>
      </c>
      <c r="H2059" s="117">
        <f t="shared" si="125"/>
        <v>0</v>
      </c>
      <c r="I2059" s="111"/>
    </row>
    <row r="2060" spans="3:9" ht="17.25" hidden="1" customHeight="1" x14ac:dyDescent="0.25">
      <c r="C2060" s="226"/>
      <c r="D2060" s="118" t="s">
        <v>1687</v>
      </c>
      <c r="E2060" s="107">
        <v>840000000</v>
      </c>
      <c r="F2060" s="253">
        <v>840000000</v>
      </c>
      <c r="G2060" s="365">
        <f t="shared" si="124"/>
        <v>100</v>
      </c>
      <c r="H2060" s="117">
        <f t="shared" si="125"/>
        <v>100</v>
      </c>
      <c r="I2060" s="111"/>
    </row>
    <row r="2061" spans="3:9" ht="30.75" hidden="1" customHeight="1" x14ac:dyDescent="0.25">
      <c r="C2061" s="226"/>
      <c r="D2061" s="118" t="s">
        <v>1688</v>
      </c>
      <c r="E2061" s="107">
        <v>720000000</v>
      </c>
      <c r="F2061" s="108">
        <v>0</v>
      </c>
      <c r="G2061" s="365">
        <f t="shared" si="124"/>
        <v>0</v>
      </c>
      <c r="H2061" s="117">
        <f t="shared" si="125"/>
        <v>0</v>
      </c>
      <c r="I2061" s="111"/>
    </row>
    <row r="2062" spans="3:9" ht="30" hidden="1" customHeight="1" x14ac:dyDescent="0.25">
      <c r="C2062" s="226"/>
      <c r="D2062" s="118" t="s">
        <v>1689</v>
      </c>
      <c r="E2062" s="107">
        <v>560000000</v>
      </c>
      <c r="F2062" s="253">
        <v>0</v>
      </c>
      <c r="G2062" s="365">
        <f t="shared" si="124"/>
        <v>0</v>
      </c>
      <c r="H2062" s="117">
        <f t="shared" si="125"/>
        <v>0</v>
      </c>
      <c r="I2062" s="111"/>
    </row>
    <row r="2063" spans="3:9" ht="17.25" hidden="1" customHeight="1" x14ac:dyDescent="0.25">
      <c r="C2063" s="226"/>
      <c r="D2063" s="118" t="s">
        <v>1690</v>
      </c>
      <c r="E2063" s="107">
        <v>600000000</v>
      </c>
      <c r="F2063" s="253">
        <v>23990000</v>
      </c>
      <c r="G2063" s="365">
        <f t="shared" si="124"/>
        <v>3.9983333333333335</v>
      </c>
      <c r="H2063" s="117">
        <f t="shared" si="125"/>
        <v>3.9983333333333335</v>
      </c>
      <c r="I2063" s="111"/>
    </row>
    <row r="2064" spans="3:9" ht="17.25" hidden="1" customHeight="1" x14ac:dyDescent="0.25">
      <c r="C2064" s="226"/>
      <c r="D2064" s="118" t="s">
        <v>1678</v>
      </c>
      <c r="E2064" s="107">
        <v>780000000</v>
      </c>
      <c r="F2064" s="253">
        <v>0</v>
      </c>
      <c r="G2064" s="365">
        <f t="shared" si="124"/>
        <v>0</v>
      </c>
      <c r="H2064" s="117">
        <f t="shared" si="125"/>
        <v>0</v>
      </c>
      <c r="I2064" s="111"/>
    </row>
    <row r="2065" spans="3:9" ht="17.25" hidden="1" customHeight="1" x14ac:dyDescent="0.25">
      <c r="C2065" s="226"/>
      <c r="D2065" s="118" t="s">
        <v>1691</v>
      </c>
      <c r="E2065" s="107">
        <v>2580000000</v>
      </c>
      <c r="F2065" s="253">
        <v>1440000000</v>
      </c>
      <c r="G2065" s="365">
        <f t="shared" si="124"/>
        <v>55.813953488372093</v>
      </c>
      <c r="H2065" s="117">
        <f t="shared" si="125"/>
        <v>55.813953488372093</v>
      </c>
      <c r="I2065" s="111"/>
    </row>
    <row r="2066" spans="3:9" ht="17.25" hidden="1" customHeight="1" x14ac:dyDescent="0.25">
      <c r="C2066" s="389"/>
      <c r="D2066" s="118" t="s">
        <v>1692</v>
      </c>
      <c r="E2066" s="107">
        <v>950000000</v>
      </c>
      <c r="F2066" s="253">
        <v>0</v>
      </c>
      <c r="G2066" s="365">
        <f t="shared" si="124"/>
        <v>0</v>
      </c>
      <c r="H2066" s="117">
        <f t="shared" si="125"/>
        <v>0</v>
      </c>
      <c r="I2066" s="111"/>
    </row>
    <row r="2067" spans="3:9" ht="17.25" hidden="1" customHeight="1" x14ac:dyDescent="0.25">
      <c r="C2067" s="226"/>
      <c r="D2067" s="118" t="s">
        <v>1693</v>
      </c>
      <c r="E2067" s="107">
        <v>28300000</v>
      </c>
      <c r="F2067" s="253">
        <v>0</v>
      </c>
      <c r="G2067" s="365">
        <f t="shared" si="124"/>
        <v>0</v>
      </c>
      <c r="H2067" s="117">
        <f t="shared" si="125"/>
        <v>0</v>
      </c>
      <c r="I2067" s="111"/>
    </row>
    <row r="2068" spans="3:9" ht="17.25" hidden="1" customHeight="1" x14ac:dyDescent="0.25">
      <c r="C2068" s="389"/>
      <c r="D2068" s="118" t="s">
        <v>1694</v>
      </c>
      <c r="E2068" s="107">
        <v>100000000</v>
      </c>
      <c r="F2068" s="253">
        <v>0</v>
      </c>
      <c r="G2068" s="365">
        <f t="shared" si="124"/>
        <v>0</v>
      </c>
      <c r="H2068" s="117">
        <f t="shared" si="125"/>
        <v>0</v>
      </c>
      <c r="I2068" s="111"/>
    </row>
    <row r="2069" spans="3:9" ht="17.25" hidden="1" customHeight="1" x14ac:dyDescent="0.25">
      <c r="C2069" s="226"/>
      <c r="D2069" s="118" t="s">
        <v>1695</v>
      </c>
      <c r="E2069" s="107">
        <v>140000000</v>
      </c>
      <c r="F2069" s="253">
        <v>0</v>
      </c>
      <c r="G2069" s="365">
        <f t="shared" si="124"/>
        <v>0</v>
      </c>
      <c r="H2069" s="117">
        <f t="shared" si="125"/>
        <v>0</v>
      </c>
      <c r="I2069" s="111"/>
    </row>
    <row r="2070" spans="3:9" ht="26.25" hidden="1" customHeight="1" x14ac:dyDescent="0.25">
      <c r="C2070" s="226"/>
      <c r="D2070" s="118" t="s">
        <v>1696</v>
      </c>
      <c r="E2070" s="107">
        <v>400400000</v>
      </c>
      <c r="F2070" s="253">
        <v>400171000</v>
      </c>
      <c r="G2070" s="365">
        <f t="shared" si="124"/>
        <v>99.942807192807194</v>
      </c>
      <c r="H2070" s="117">
        <f t="shared" si="125"/>
        <v>99.942807192807194</v>
      </c>
      <c r="I2070" s="111"/>
    </row>
    <row r="2071" spans="3:9" ht="17.25" hidden="1" customHeight="1" x14ac:dyDescent="0.25">
      <c r="C2071" s="226"/>
      <c r="D2071" s="118" t="s">
        <v>1697</v>
      </c>
      <c r="E2071" s="107">
        <v>140000000</v>
      </c>
      <c r="F2071" s="253"/>
      <c r="G2071" s="365">
        <f t="shared" si="124"/>
        <v>0</v>
      </c>
      <c r="H2071" s="117">
        <f t="shared" si="125"/>
        <v>0</v>
      </c>
      <c r="I2071" s="111"/>
    </row>
    <row r="2072" spans="3:9" ht="17.25" hidden="1" customHeight="1" x14ac:dyDescent="0.25">
      <c r="C2072" s="226"/>
      <c r="D2072" s="118" t="s">
        <v>1698</v>
      </c>
      <c r="E2072" s="107">
        <v>1002725900</v>
      </c>
      <c r="F2072" s="253">
        <v>748350000</v>
      </c>
      <c r="G2072" s="365">
        <f t="shared" si="124"/>
        <v>74.631561825619542</v>
      </c>
      <c r="H2072" s="117">
        <f t="shared" si="125"/>
        <v>74.631561825619542</v>
      </c>
      <c r="I2072" s="111"/>
    </row>
    <row r="2073" spans="3:9" ht="17.25" hidden="1" customHeight="1" x14ac:dyDescent="0.25">
      <c r="C2073" s="226"/>
      <c r="D2073" s="118" t="s">
        <v>1699</v>
      </c>
      <c r="E2073" s="107">
        <v>1350000000</v>
      </c>
      <c r="F2073" s="253"/>
      <c r="G2073" s="365">
        <f t="shared" si="124"/>
        <v>0</v>
      </c>
      <c r="H2073" s="117">
        <f t="shared" si="125"/>
        <v>0</v>
      </c>
      <c r="I2073" s="111"/>
    </row>
    <row r="2074" spans="3:9" s="115" customFormat="1" ht="16.5" hidden="1" customHeight="1" x14ac:dyDescent="0.25">
      <c r="C2074" s="222"/>
      <c r="D2074" s="249" t="s">
        <v>693</v>
      </c>
      <c r="E2074" s="120">
        <f>SUM(E2075:E2077)</f>
        <v>600000000</v>
      </c>
      <c r="F2074" s="113">
        <f>SUM(F2075:F2077)</f>
        <v>240000000</v>
      </c>
      <c r="G2074" s="331">
        <f t="shared" si="124"/>
        <v>40</v>
      </c>
      <c r="H2074" s="114">
        <f>SUM(H2075:H2077)/3</f>
        <v>33.333333333333336</v>
      </c>
      <c r="I2074" s="121"/>
    </row>
    <row r="2075" spans="3:9" ht="17.25" hidden="1" customHeight="1" x14ac:dyDescent="0.25">
      <c r="C2075" s="226"/>
      <c r="D2075" s="119" t="s">
        <v>1700</v>
      </c>
      <c r="E2075" s="107">
        <v>300000000</v>
      </c>
      <c r="F2075" s="253">
        <v>0</v>
      </c>
      <c r="G2075" s="365">
        <f t="shared" si="124"/>
        <v>0</v>
      </c>
      <c r="H2075" s="117">
        <f t="shared" si="125"/>
        <v>0</v>
      </c>
      <c r="I2075" s="111"/>
    </row>
    <row r="2076" spans="3:9" ht="17.25" hidden="1" customHeight="1" x14ac:dyDescent="0.25">
      <c r="C2076" s="226"/>
      <c r="D2076" s="118" t="s">
        <v>1701</v>
      </c>
      <c r="E2076" s="107">
        <v>240000000</v>
      </c>
      <c r="F2076" s="108">
        <v>240000000</v>
      </c>
      <c r="G2076" s="365">
        <f t="shared" ref="G2076:G2094" si="126">+F2076/E2076*100</f>
        <v>100</v>
      </c>
      <c r="H2076" s="117">
        <f t="shared" si="125"/>
        <v>100</v>
      </c>
      <c r="I2076" s="111"/>
    </row>
    <row r="2077" spans="3:9" ht="17.25" hidden="1" customHeight="1" x14ac:dyDescent="0.25">
      <c r="C2077" s="226"/>
      <c r="D2077" s="118" t="s">
        <v>1702</v>
      </c>
      <c r="E2077" s="107">
        <v>60000000</v>
      </c>
      <c r="F2077" s="253">
        <v>0</v>
      </c>
      <c r="G2077" s="365">
        <f t="shared" si="126"/>
        <v>0</v>
      </c>
      <c r="H2077" s="117">
        <f t="shared" si="125"/>
        <v>0</v>
      </c>
      <c r="I2077" s="111"/>
    </row>
    <row r="2078" spans="3:9" s="115" customFormat="1" ht="16.5" hidden="1" customHeight="1" x14ac:dyDescent="0.25">
      <c r="C2078" s="222"/>
      <c r="D2078" s="249" t="s">
        <v>92</v>
      </c>
      <c r="E2078" s="120">
        <f>SUM(E2079:E2082)</f>
        <v>655000000</v>
      </c>
      <c r="F2078" s="113">
        <f>SUM(F2079:F2082)</f>
        <v>349500000</v>
      </c>
      <c r="G2078" s="331">
        <f t="shared" si="126"/>
        <v>53.358778625954194</v>
      </c>
      <c r="H2078" s="114">
        <f>SUM(H2079:H2082)/4</f>
        <v>24.964285714285715</v>
      </c>
      <c r="I2078" s="121"/>
    </row>
    <row r="2079" spans="3:9" ht="17.25" hidden="1" customHeight="1" x14ac:dyDescent="0.25">
      <c r="C2079" s="226"/>
      <c r="D2079" s="118" t="s">
        <v>1703</v>
      </c>
      <c r="E2079" s="107">
        <v>350000000</v>
      </c>
      <c r="F2079" s="253">
        <v>349500000</v>
      </c>
      <c r="G2079" s="365">
        <f t="shared" si="126"/>
        <v>99.857142857142861</v>
      </c>
      <c r="H2079" s="117">
        <f t="shared" si="125"/>
        <v>99.857142857142861</v>
      </c>
      <c r="I2079" s="111"/>
    </row>
    <row r="2080" spans="3:9" ht="17.25" hidden="1" customHeight="1" x14ac:dyDescent="0.25">
      <c r="C2080" s="226"/>
      <c r="D2080" s="118" t="s">
        <v>1704</v>
      </c>
      <c r="E2080" s="107">
        <v>40000000</v>
      </c>
      <c r="F2080" s="253">
        <v>0</v>
      </c>
      <c r="G2080" s="365">
        <f t="shared" si="126"/>
        <v>0</v>
      </c>
      <c r="H2080" s="117">
        <f t="shared" si="125"/>
        <v>0</v>
      </c>
      <c r="I2080" s="111"/>
    </row>
    <row r="2081" spans="3:9" ht="17.25" hidden="1" customHeight="1" x14ac:dyDescent="0.25">
      <c r="C2081" s="226"/>
      <c r="D2081" s="111" t="s">
        <v>1705</v>
      </c>
      <c r="E2081" s="107">
        <v>225000000</v>
      </c>
      <c r="F2081" s="253">
        <v>0</v>
      </c>
      <c r="G2081" s="365">
        <f t="shared" si="126"/>
        <v>0</v>
      </c>
      <c r="H2081" s="117">
        <f t="shared" si="125"/>
        <v>0</v>
      </c>
      <c r="I2081" s="111"/>
    </row>
    <row r="2082" spans="3:9" ht="17.25" hidden="1" customHeight="1" x14ac:dyDescent="0.25">
      <c r="C2082" s="226"/>
      <c r="D2082" s="111" t="s">
        <v>1706</v>
      </c>
      <c r="E2082" s="107">
        <v>40000000</v>
      </c>
      <c r="F2082" s="253">
        <v>0</v>
      </c>
      <c r="G2082" s="365">
        <f t="shared" si="126"/>
        <v>0</v>
      </c>
      <c r="H2082" s="117">
        <f t="shared" si="125"/>
        <v>0</v>
      </c>
      <c r="I2082" s="111"/>
    </row>
    <row r="2083" spans="3:9" s="115" customFormat="1" ht="16.5" hidden="1" customHeight="1" x14ac:dyDescent="0.25">
      <c r="C2083" s="222"/>
      <c r="D2083" s="121" t="s">
        <v>1707</v>
      </c>
      <c r="E2083" s="120">
        <f>SUM(E2084:E2087)</f>
        <v>627000000</v>
      </c>
      <c r="F2083" s="113">
        <f>SUM(F2084:F2087)</f>
        <v>180000000</v>
      </c>
      <c r="G2083" s="331">
        <f t="shared" si="126"/>
        <v>28.708133971291865</v>
      </c>
      <c r="H2083" s="117">
        <f t="shared" si="125"/>
        <v>28.708133971291865</v>
      </c>
      <c r="I2083" s="121"/>
    </row>
    <row r="2084" spans="3:9" ht="17.25" hidden="1" customHeight="1" x14ac:dyDescent="0.25">
      <c r="C2084" s="226"/>
      <c r="D2084" s="111" t="s">
        <v>1708</v>
      </c>
      <c r="E2084" s="107">
        <v>360000000</v>
      </c>
      <c r="F2084" s="253">
        <v>180000000</v>
      </c>
      <c r="G2084" s="365">
        <f t="shared" si="126"/>
        <v>50</v>
      </c>
      <c r="H2084" s="117">
        <f t="shared" si="125"/>
        <v>50</v>
      </c>
      <c r="I2084" s="111"/>
    </row>
    <row r="2085" spans="3:9" ht="17.25" hidden="1" customHeight="1" x14ac:dyDescent="0.25">
      <c r="C2085" s="226"/>
      <c r="D2085" s="111" t="s">
        <v>1709</v>
      </c>
      <c r="E2085" s="107">
        <v>162000000</v>
      </c>
      <c r="F2085" s="253">
        <v>0</v>
      </c>
      <c r="G2085" s="365">
        <f t="shared" si="126"/>
        <v>0</v>
      </c>
      <c r="H2085" s="117">
        <f t="shared" si="125"/>
        <v>0</v>
      </c>
      <c r="I2085" s="111"/>
    </row>
    <row r="2086" spans="3:9" ht="17.25" hidden="1" customHeight="1" x14ac:dyDescent="0.25">
      <c r="C2086" s="226"/>
      <c r="D2086" s="111" t="s">
        <v>1710</v>
      </c>
      <c r="E2086" s="107">
        <v>45000000</v>
      </c>
      <c r="F2086" s="253">
        <v>0</v>
      </c>
      <c r="G2086" s="365">
        <f t="shared" si="126"/>
        <v>0</v>
      </c>
      <c r="H2086" s="117">
        <f t="shared" si="125"/>
        <v>0</v>
      </c>
      <c r="I2086" s="111"/>
    </row>
    <row r="2087" spans="3:9" ht="17.25" hidden="1" customHeight="1" x14ac:dyDescent="0.25">
      <c r="C2087" s="226"/>
      <c r="D2087" s="111" t="s">
        <v>1711</v>
      </c>
      <c r="E2087" s="107">
        <v>60000000</v>
      </c>
      <c r="F2087" s="253">
        <v>0</v>
      </c>
      <c r="G2087" s="365">
        <f t="shared" si="126"/>
        <v>0</v>
      </c>
      <c r="H2087" s="117">
        <f t="shared" si="125"/>
        <v>0</v>
      </c>
      <c r="I2087" s="111"/>
    </row>
    <row r="2088" spans="3:9" s="115" customFormat="1" ht="16.5" hidden="1" customHeight="1" x14ac:dyDescent="0.25">
      <c r="C2088" s="222"/>
      <c r="D2088" s="121" t="s">
        <v>1712</v>
      </c>
      <c r="E2088" s="120">
        <f>SUM(E2089:E2092)</f>
        <v>2040000000</v>
      </c>
      <c r="F2088" s="113">
        <f>SUM(F2089:F2092)</f>
        <v>1251910000</v>
      </c>
      <c r="G2088" s="331">
        <f t="shared" si="126"/>
        <v>61.368137254901953</v>
      </c>
      <c r="H2088" s="117">
        <f t="shared" si="125"/>
        <v>61.368137254901953</v>
      </c>
      <c r="I2088" s="121"/>
    </row>
    <row r="2089" spans="3:9" ht="17.25" hidden="1" customHeight="1" x14ac:dyDescent="0.25">
      <c r="C2089" s="226"/>
      <c r="D2089" s="111" t="s">
        <v>1713</v>
      </c>
      <c r="E2089" s="107">
        <v>270000000</v>
      </c>
      <c r="F2089" s="108">
        <v>270000000</v>
      </c>
      <c r="G2089" s="365">
        <f t="shared" si="126"/>
        <v>100</v>
      </c>
      <c r="H2089" s="117">
        <f t="shared" si="125"/>
        <v>100</v>
      </c>
      <c r="I2089" s="111"/>
    </row>
    <row r="2090" spans="3:9" ht="17.25" hidden="1" customHeight="1" x14ac:dyDescent="0.25">
      <c r="C2090" s="226"/>
      <c r="D2090" s="32" t="s">
        <v>1714</v>
      </c>
      <c r="E2090" s="107">
        <v>800000000</v>
      </c>
      <c r="F2090" s="108">
        <v>143510000</v>
      </c>
      <c r="G2090" s="365">
        <f t="shared" si="126"/>
        <v>17.938749999999999</v>
      </c>
      <c r="H2090" s="117">
        <f t="shared" si="125"/>
        <v>17.938749999999999</v>
      </c>
      <c r="I2090" s="111"/>
    </row>
    <row r="2091" spans="3:9" ht="17.25" hidden="1" customHeight="1" x14ac:dyDescent="0.25">
      <c r="C2091" s="226"/>
      <c r="D2091" s="111" t="s">
        <v>1696</v>
      </c>
      <c r="E2091" s="107">
        <v>126000000</v>
      </c>
      <c r="F2091" s="108">
        <v>0</v>
      </c>
      <c r="G2091" s="365">
        <f t="shared" si="126"/>
        <v>0</v>
      </c>
      <c r="H2091" s="117">
        <f t="shared" si="125"/>
        <v>0</v>
      </c>
      <c r="I2091" s="111"/>
    </row>
    <row r="2092" spans="3:9" ht="17.25" hidden="1" customHeight="1" x14ac:dyDescent="0.25">
      <c r="C2092" s="226"/>
      <c r="D2092" s="111" t="s">
        <v>1715</v>
      </c>
      <c r="E2092" s="107">
        <v>844000000</v>
      </c>
      <c r="F2092" s="108">
        <v>838400000</v>
      </c>
      <c r="G2092" s="365">
        <f t="shared" si="126"/>
        <v>99.33649289099526</v>
      </c>
      <c r="H2092" s="117">
        <f t="shared" si="125"/>
        <v>99.33649289099526</v>
      </c>
      <c r="I2092" s="111"/>
    </row>
    <row r="2093" spans="3:9" s="115" customFormat="1" ht="16.5" hidden="1" customHeight="1" x14ac:dyDescent="0.25">
      <c r="C2093" s="222"/>
      <c r="D2093" s="121" t="s">
        <v>916</v>
      </c>
      <c r="E2093" s="120">
        <f>E2094</f>
        <v>100000000</v>
      </c>
      <c r="F2093" s="113">
        <f>F2094</f>
        <v>100000000</v>
      </c>
      <c r="G2093" s="331">
        <f t="shared" si="126"/>
        <v>100</v>
      </c>
      <c r="H2093" s="117">
        <f t="shared" si="125"/>
        <v>100</v>
      </c>
      <c r="I2093" s="121"/>
    </row>
    <row r="2094" spans="3:9" ht="16.5" hidden="1" customHeight="1" x14ac:dyDescent="0.25">
      <c r="C2094" s="226"/>
      <c r="D2094" s="111" t="s">
        <v>1716</v>
      </c>
      <c r="E2094" s="107">
        <v>100000000</v>
      </c>
      <c r="F2094" s="108">
        <v>100000000</v>
      </c>
      <c r="G2094" s="331">
        <f t="shared" si="126"/>
        <v>100</v>
      </c>
      <c r="H2094" s="117">
        <f t="shared" si="125"/>
        <v>100</v>
      </c>
      <c r="I2094" s="111"/>
    </row>
    <row r="2095" spans="3:9" ht="16.5" hidden="1" customHeight="1" x14ac:dyDescent="0.25">
      <c r="C2095" s="226"/>
      <c r="D2095" s="119"/>
      <c r="E2095" s="169"/>
      <c r="F2095" s="113"/>
      <c r="G2095" s="331"/>
      <c r="H2095" s="117">
        <f t="shared" si="125"/>
        <v>0</v>
      </c>
      <c r="I2095" s="111"/>
    </row>
    <row r="2096" spans="3:9" ht="16.5" hidden="1" customHeight="1" x14ac:dyDescent="0.25">
      <c r="C2096" s="226"/>
      <c r="D2096" s="217" t="s">
        <v>150</v>
      </c>
      <c r="E2096" s="168">
        <f>+E2097+E2099+E2103+E2107+E2109+E2111+E2115+E2118+E2120+E2123+E2125</f>
        <v>16000000950</v>
      </c>
      <c r="F2096" s="113">
        <f>F2097+F2099+F2103+F2107+F2109+F2111+F2115+F2118+F2120+F2123+F2125</f>
        <v>15949866950</v>
      </c>
      <c r="G2096" s="331">
        <f t="shared" ref="G2096:G2126" si="127">F2096/E2096*100</f>
        <v>99.686662518604408</v>
      </c>
      <c r="H2096" s="114">
        <f>(H2097+H2099+H2107+H2109+H2111+H2115+H2118+H2120+H2123+H2125)/10</f>
        <v>99.359237706545528</v>
      </c>
      <c r="I2096" s="111"/>
    </row>
    <row r="2097" spans="3:9" s="115" customFormat="1" ht="16.5" hidden="1" customHeight="1" x14ac:dyDescent="0.25">
      <c r="C2097" s="222"/>
      <c r="D2097" s="121" t="s">
        <v>156</v>
      </c>
      <c r="E2097" s="120">
        <f>E2098</f>
        <v>955720000</v>
      </c>
      <c r="F2097" s="113">
        <f>F2098</f>
        <v>911020000</v>
      </c>
      <c r="G2097" s="297">
        <f t="shared" si="127"/>
        <v>95.322897919892853</v>
      </c>
      <c r="H2097" s="114">
        <f t="shared" si="125"/>
        <v>95.322897919892853</v>
      </c>
      <c r="I2097" s="121"/>
    </row>
    <row r="2098" spans="3:9" ht="17.25" hidden="1" customHeight="1" x14ac:dyDescent="0.25">
      <c r="C2098" s="226"/>
      <c r="D2098" s="111" t="s">
        <v>1717</v>
      </c>
      <c r="E2098" s="107">
        <v>955720000</v>
      </c>
      <c r="F2098" s="253">
        <v>911020000</v>
      </c>
      <c r="G2098" s="365">
        <f t="shared" si="127"/>
        <v>95.322897919892853</v>
      </c>
      <c r="H2098" s="117">
        <f t="shared" si="125"/>
        <v>95.322897919892853</v>
      </c>
      <c r="I2098" s="111"/>
    </row>
    <row r="2099" spans="3:9" s="115" customFormat="1" ht="16.5" hidden="1" customHeight="1" x14ac:dyDescent="0.25">
      <c r="C2099" s="222"/>
      <c r="D2099" s="121" t="s">
        <v>166</v>
      </c>
      <c r="E2099" s="120">
        <f>E2100+E2101+E2102</f>
        <v>5399141000</v>
      </c>
      <c r="F2099" s="113">
        <f>F2100+F2101+F2102</f>
        <v>5399141000</v>
      </c>
      <c r="G2099" s="331">
        <f t="shared" si="127"/>
        <v>100</v>
      </c>
      <c r="H2099" s="114">
        <f t="shared" si="125"/>
        <v>100</v>
      </c>
      <c r="I2099" s="121"/>
    </row>
    <row r="2100" spans="3:9" ht="17.25" hidden="1" customHeight="1" x14ac:dyDescent="0.25">
      <c r="C2100" s="226"/>
      <c r="D2100" s="111" t="s">
        <v>1718</v>
      </c>
      <c r="E2100" s="107">
        <v>99141000</v>
      </c>
      <c r="F2100" s="108">
        <v>99141000</v>
      </c>
      <c r="G2100" s="365">
        <f t="shared" si="127"/>
        <v>100</v>
      </c>
      <c r="H2100" s="117">
        <f t="shared" si="125"/>
        <v>100</v>
      </c>
      <c r="I2100" s="111"/>
    </row>
    <row r="2101" spans="3:9" ht="17.25" hidden="1" customHeight="1" x14ac:dyDescent="0.25">
      <c r="C2101" s="226"/>
      <c r="D2101" s="111" t="s">
        <v>1719</v>
      </c>
      <c r="E2101" s="107">
        <v>2700000000</v>
      </c>
      <c r="F2101" s="108">
        <v>2700000000</v>
      </c>
      <c r="G2101" s="276">
        <f t="shared" si="127"/>
        <v>100</v>
      </c>
      <c r="H2101" s="117">
        <f t="shared" si="125"/>
        <v>100</v>
      </c>
      <c r="I2101" s="111"/>
    </row>
    <row r="2102" spans="3:9" ht="17.25" hidden="1" customHeight="1" x14ac:dyDescent="0.25">
      <c r="C2102" s="226"/>
      <c r="D2102" s="111" t="s">
        <v>1720</v>
      </c>
      <c r="E2102" s="107">
        <v>2600000000</v>
      </c>
      <c r="F2102" s="108">
        <v>2600000000</v>
      </c>
      <c r="G2102" s="365">
        <f t="shared" si="127"/>
        <v>100</v>
      </c>
      <c r="H2102" s="117">
        <f t="shared" si="125"/>
        <v>100</v>
      </c>
      <c r="I2102" s="111"/>
    </row>
    <row r="2103" spans="3:9" s="115" customFormat="1" ht="16.5" hidden="1" customHeight="1" x14ac:dyDescent="0.25">
      <c r="C2103" s="222"/>
      <c r="D2103" s="121" t="s">
        <v>705</v>
      </c>
      <c r="E2103" s="120">
        <f>E2104+E2105+E2106</f>
        <v>560811000</v>
      </c>
      <c r="F2103" s="108">
        <f>F2104+F2105+F2106</f>
        <v>560811000</v>
      </c>
      <c r="G2103" s="365">
        <f t="shared" si="127"/>
        <v>100</v>
      </c>
      <c r="H2103" s="117">
        <f t="shared" si="125"/>
        <v>100</v>
      </c>
      <c r="I2103" s="121"/>
    </row>
    <row r="2104" spans="3:9" ht="17.25" hidden="1" customHeight="1" x14ac:dyDescent="0.25">
      <c r="C2104" s="226"/>
      <c r="D2104" s="111" t="s">
        <v>1721</v>
      </c>
      <c r="E2104" s="107">
        <v>156841000</v>
      </c>
      <c r="F2104" s="108">
        <v>156841000</v>
      </c>
      <c r="G2104" s="276">
        <f t="shared" si="127"/>
        <v>100</v>
      </c>
      <c r="H2104" s="117">
        <f t="shared" si="125"/>
        <v>100</v>
      </c>
      <c r="I2104" s="111"/>
    </row>
    <row r="2105" spans="3:9" ht="17.25" hidden="1" customHeight="1" x14ac:dyDescent="0.25">
      <c r="C2105" s="226"/>
      <c r="D2105" s="111" t="s">
        <v>1722</v>
      </c>
      <c r="E2105" s="107">
        <v>95774000</v>
      </c>
      <c r="F2105" s="108">
        <v>95774000</v>
      </c>
      <c r="G2105" s="365">
        <f t="shared" si="127"/>
        <v>100</v>
      </c>
      <c r="H2105" s="117">
        <f t="shared" si="125"/>
        <v>100</v>
      </c>
      <c r="I2105" s="111"/>
    </row>
    <row r="2106" spans="3:9" ht="17.25" hidden="1" customHeight="1" x14ac:dyDescent="0.25">
      <c r="C2106" s="226"/>
      <c r="D2106" s="111" t="s">
        <v>1723</v>
      </c>
      <c r="E2106" s="107">
        <v>308196000</v>
      </c>
      <c r="F2106" s="108">
        <v>308196000</v>
      </c>
      <c r="G2106" s="276">
        <f t="shared" si="127"/>
        <v>100</v>
      </c>
      <c r="H2106" s="117">
        <f t="shared" si="125"/>
        <v>100</v>
      </c>
      <c r="I2106" s="111"/>
    </row>
    <row r="2107" spans="3:9" ht="17.25" hidden="1" customHeight="1" x14ac:dyDescent="0.25">
      <c r="C2107" s="226"/>
      <c r="D2107" s="111" t="s">
        <v>177</v>
      </c>
      <c r="E2107" s="107">
        <f>E2108</f>
        <v>250000000</v>
      </c>
      <c r="F2107" s="113">
        <f>F2108</f>
        <v>245778000</v>
      </c>
      <c r="G2107" s="297">
        <f t="shared" si="127"/>
        <v>98.311199999999999</v>
      </c>
      <c r="H2107" s="114">
        <f t="shared" si="125"/>
        <v>98.311199999999999</v>
      </c>
      <c r="I2107" s="111"/>
    </row>
    <row r="2108" spans="3:9" ht="17.25" hidden="1" customHeight="1" x14ac:dyDescent="0.25">
      <c r="C2108" s="226"/>
      <c r="D2108" s="111" t="s">
        <v>1724</v>
      </c>
      <c r="E2108" s="107">
        <v>250000000</v>
      </c>
      <c r="F2108" s="253">
        <v>245778000</v>
      </c>
      <c r="G2108" s="365">
        <f t="shared" si="127"/>
        <v>98.311199999999999</v>
      </c>
      <c r="H2108" s="117">
        <f t="shared" si="125"/>
        <v>98.311199999999999</v>
      </c>
      <c r="I2108" s="111"/>
    </row>
    <row r="2109" spans="3:9" s="115" customFormat="1" ht="16.5" hidden="1" customHeight="1" x14ac:dyDescent="0.25">
      <c r="C2109" s="222"/>
      <c r="D2109" s="121" t="s">
        <v>179</v>
      </c>
      <c r="E2109" s="120">
        <f>E2110</f>
        <v>101141000</v>
      </c>
      <c r="F2109" s="113">
        <f>F2110</f>
        <v>101141000</v>
      </c>
      <c r="G2109" s="331">
        <f t="shared" si="127"/>
        <v>100</v>
      </c>
      <c r="H2109" s="114">
        <f t="shared" si="125"/>
        <v>100</v>
      </c>
      <c r="I2109" s="121"/>
    </row>
    <row r="2110" spans="3:9" ht="17.25" hidden="1" customHeight="1" x14ac:dyDescent="0.25">
      <c r="C2110" s="226"/>
      <c r="D2110" s="111" t="s">
        <v>1725</v>
      </c>
      <c r="E2110" s="107">
        <v>101141000</v>
      </c>
      <c r="F2110" s="108">
        <v>101141000</v>
      </c>
      <c r="G2110" s="276">
        <f t="shared" si="127"/>
        <v>100</v>
      </c>
      <c r="H2110" s="117">
        <f t="shared" si="125"/>
        <v>100</v>
      </c>
      <c r="I2110" s="111"/>
    </row>
    <row r="2111" spans="3:9" s="115" customFormat="1" ht="16.5" hidden="1" customHeight="1" x14ac:dyDescent="0.25">
      <c r="C2111" s="222"/>
      <c r="D2111" s="121" t="s">
        <v>182</v>
      </c>
      <c r="E2111" s="120">
        <f>E2112+E2113+E2114</f>
        <v>4360041000</v>
      </c>
      <c r="F2111" s="113">
        <f>F2112+F2113+F2114</f>
        <v>4360041000</v>
      </c>
      <c r="G2111" s="297">
        <f t="shared" si="127"/>
        <v>100</v>
      </c>
      <c r="H2111" s="114">
        <f t="shared" si="125"/>
        <v>100</v>
      </c>
      <c r="I2111" s="121"/>
    </row>
    <row r="2112" spans="3:9" ht="17.25" hidden="1" customHeight="1" x14ac:dyDescent="0.25">
      <c r="C2112" s="226"/>
      <c r="D2112" s="111" t="s">
        <v>1726</v>
      </c>
      <c r="E2112" s="107">
        <v>200000000</v>
      </c>
      <c r="F2112" s="108">
        <v>200000000</v>
      </c>
      <c r="G2112" s="276">
        <f t="shared" si="127"/>
        <v>100</v>
      </c>
      <c r="H2112" s="117">
        <f t="shared" ref="H2112:H2175" si="128">+G2112</f>
        <v>100</v>
      </c>
      <c r="I2112" s="111"/>
    </row>
    <row r="2113" spans="3:9" ht="17.25" hidden="1" customHeight="1" x14ac:dyDescent="0.25">
      <c r="C2113" s="226"/>
      <c r="D2113" s="111" t="s">
        <v>1727</v>
      </c>
      <c r="E2113" s="107">
        <v>940000000</v>
      </c>
      <c r="F2113" s="108">
        <v>940000000</v>
      </c>
      <c r="G2113" s="276">
        <f t="shared" si="127"/>
        <v>100</v>
      </c>
      <c r="H2113" s="117">
        <f t="shared" si="128"/>
        <v>100</v>
      </c>
      <c r="I2113" s="111"/>
    </row>
    <row r="2114" spans="3:9" ht="17.25" hidden="1" customHeight="1" x14ac:dyDescent="0.25">
      <c r="C2114" s="226"/>
      <c r="D2114" s="111" t="s">
        <v>1728</v>
      </c>
      <c r="E2114" s="107">
        <v>3220041000</v>
      </c>
      <c r="F2114" s="108">
        <v>3220041000</v>
      </c>
      <c r="G2114" s="276">
        <f t="shared" si="127"/>
        <v>100</v>
      </c>
      <c r="H2114" s="117">
        <f t="shared" si="128"/>
        <v>100</v>
      </c>
      <c r="I2114" s="111"/>
    </row>
    <row r="2115" spans="3:9" s="115" customFormat="1" ht="17.25" hidden="1" customHeight="1" x14ac:dyDescent="0.25">
      <c r="C2115" s="222"/>
      <c r="D2115" s="121" t="s">
        <v>196</v>
      </c>
      <c r="E2115" s="120">
        <f>E2116+E2117</f>
        <v>345391000</v>
      </c>
      <c r="F2115" s="113">
        <f>F2116+F2117</f>
        <v>345391000</v>
      </c>
      <c r="G2115" s="297">
        <f t="shared" si="127"/>
        <v>100</v>
      </c>
      <c r="H2115" s="114">
        <f t="shared" si="128"/>
        <v>100</v>
      </c>
      <c r="I2115" s="121"/>
    </row>
    <row r="2116" spans="3:9" ht="16.5" hidden="1" customHeight="1" x14ac:dyDescent="0.25">
      <c r="C2116" s="226"/>
      <c r="D2116" s="111" t="s">
        <v>1729</v>
      </c>
      <c r="E2116" s="107">
        <v>241200000</v>
      </c>
      <c r="F2116" s="108">
        <v>241200000</v>
      </c>
      <c r="G2116" s="276">
        <f t="shared" si="127"/>
        <v>100</v>
      </c>
      <c r="H2116" s="117">
        <f t="shared" si="128"/>
        <v>100</v>
      </c>
      <c r="I2116" s="111"/>
    </row>
    <row r="2117" spans="3:9" ht="16.5" hidden="1" customHeight="1" x14ac:dyDescent="0.25">
      <c r="C2117" s="226"/>
      <c r="D2117" s="111" t="s">
        <v>1730</v>
      </c>
      <c r="E2117" s="107">
        <v>104191000</v>
      </c>
      <c r="F2117" s="108">
        <v>104191000</v>
      </c>
      <c r="G2117" s="276">
        <f t="shared" si="127"/>
        <v>100</v>
      </c>
      <c r="H2117" s="117">
        <f t="shared" si="128"/>
        <v>100</v>
      </c>
      <c r="I2117" s="111"/>
    </row>
    <row r="2118" spans="3:9" s="115" customFormat="1" ht="16.5" hidden="1" customHeight="1" x14ac:dyDescent="0.25">
      <c r="C2118" s="222"/>
      <c r="D2118" s="121" t="s">
        <v>1570</v>
      </c>
      <c r="E2118" s="120">
        <f>E2119</f>
        <v>100841000</v>
      </c>
      <c r="F2118" s="113">
        <f>F2119</f>
        <v>100841000</v>
      </c>
      <c r="G2118" s="297">
        <f t="shared" si="127"/>
        <v>100</v>
      </c>
      <c r="H2118" s="114">
        <f t="shared" si="128"/>
        <v>100</v>
      </c>
      <c r="I2118" s="121"/>
    </row>
    <row r="2119" spans="3:9" ht="16.5" hidden="1" customHeight="1" x14ac:dyDescent="0.25">
      <c r="C2119" s="226"/>
      <c r="D2119" s="111" t="s">
        <v>1731</v>
      </c>
      <c r="E2119" s="107">
        <v>100841000</v>
      </c>
      <c r="F2119" s="108">
        <v>100841000</v>
      </c>
      <c r="G2119" s="276">
        <f t="shared" si="127"/>
        <v>100</v>
      </c>
      <c r="H2119" s="117">
        <f t="shared" si="128"/>
        <v>100</v>
      </c>
      <c r="I2119" s="111"/>
    </row>
    <row r="2120" spans="3:9" s="115" customFormat="1" ht="16.5" hidden="1" customHeight="1" x14ac:dyDescent="0.25">
      <c r="C2120" s="222"/>
      <c r="D2120" s="121" t="s">
        <v>720</v>
      </c>
      <c r="E2120" s="120">
        <f>E2121+E2122</f>
        <v>349841000</v>
      </c>
      <c r="F2120" s="113">
        <f>F2121+F2122</f>
        <v>349841000</v>
      </c>
      <c r="G2120" s="297">
        <f t="shared" si="127"/>
        <v>100</v>
      </c>
      <c r="H2120" s="114">
        <f t="shared" si="128"/>
        <v>100</v>
      </c>
      <c r="I2120" s="121"/>
    </row>
    <row r="2121" spans="3:9" ht="16.5" hidden="1" customHeight="1" x14ac:dyDescent="0.25">
      <c r="C2121" s="226"/>
      <c r="D2121" s="111" t="s">
        <v>1732</v>
      </c>
      <c r="E2121" s="107">
        <v>149841000</v>
      </c>
      <c r="F2121" s="108">
        <v>149841000</v>
      </c>
      <c r="G2121" s="276">
        <f t="shared" si="127"/>
        <v>100</v>
      </c>
      <c r="H2121" s="117">
        <f t="shared" si="128"/>
        <v>100</v>
      </c>
      <c r="I2121" s="111"/>
    </row>
    <row r="2122" spans="3:9" ht="16.5" hidden="1" customHeight="1" x14ac:dyDescent="0.25">
      <c r="C2122" s="226"/>
      <c r="D2122" s="111" t="s">
        <v>1733</v>
      </c>
      <c r="E2122" s="107">
        <v>200000000</v>
      </c>
      <c r="F2122" s="108">
        <v>200000000</v>
      </c>
      <c r="G2122" s="276">
        <f t="shared" si="127"/>
        <v>100</v>
      </c>
      <c r="H2122" s="117">
        <f t="shared" si="128"/>
        <v>100</v>
      </c>
      <c r="I2122" s="111"/>
    </row>
    <row r="2123" spans="3:9" s="115" customFormat="1" ht="16.5" hidden="1" customHeight="1" x14ac:dyDescent="0.25">
      <c r="C2123" s="222"/>
      <c r="D2123" s="121" t="s">
        <v>1578</v>
      </c>
      <c r="E2123" s="120">
        <f>E2124</f>
        <v>672051950</v>
      </c>
      <c r="F2123" s="113">
        <f>F2124</f>
        <v>672051950</v>
      </c>
      <c r="G2123" s="297">
        <f t="shared" si="127"/>
        <v>100</v>
      </c>
      <c r="H2123" s="114">
        <f t="shared" si="128"/>
        <v>100</v>
      </c>
      <c r="I2123" s="121"/>
    </row>
    <row r="2124" spans="3:9" ht="16.5" hidden="1" customHeight="1" x14ac:dyDescent="0.25">
      <c r="C2124" s="226"/>
      <c r="D2124" s="111" t="s">
        <v>1734</v>
      </c>
      <c r="E2124" s="107">
        <v>672051950</v>
      </c>
      <c r="F2124" s="108">
        <v>672051950</v>
      </c>
      <c r="G2124" s="276">
        <f t="shared" si="127"/>
        <v>100</v>
      </c>
      <c r="H2124" s="117">
        <f t="shared" si="128"/>
        <v>100</v>
      </c>
      <c r="I2124" s="111"/>
    </row>
    <row r="2125" spans="3:9" s="115" customFormat="1" ht="16.5" hidden="1" customHeight="1" x14ac:dyDescent="0.25">
      <c r="C2125" s="222"/>
      <c r="D2125" s="121" t="s">
        <v>202</v>
      </c>
      <c r="E2125" s="120">
        <f>E2126</f>
        <v>2905022000</v>
      </c>
      <c r="F2125" s="113">
        <f>F2126</f>
        <v>2903810000</v>
      </c>
      <c r="G2125" s="297">
        <f t="shared" si="127"/>
        <v>99.958279145562415</v>
      </c>
      <c r="H2125" s="114">
        <f t="shared" si="128"/>
        <v>99.958279145562415</v>
      </c>
      <c r="I2125" s="121"/>
    </row>
    <row r="2126" spans="3:9" ht="29.25" hidden="1" customHeight="1" x14ac:dyDescent="0.25">
      <c r="C2126" s="226"/>
      <c r="D2126" s="119" t="s">
        <v>1735</v>
      </c>
      <c r="E2126" s="107">
        <v>2905022000</v>
      </c>
      <c r="F2126" s="108">
        <v>2903810000</v>
      </c>
      <c r="G2126" s="276">
        <f t="shared" si="127"/>
        <v>99.958279145562415</v>
      </c>
      <c r="H2126" s="117">
        <f t="shared" si="128"/>
        <v>99.958279145562415</v>
      </c>
      <c r="I2126" s="111"/>
    </row>
    <row r="2127" spans="3:9" ht="16.5" hidden="1" customHeight="1" x14ac:dyDescent="0.25">
      <c r="C2127" s="226"/>
      <c r="D2127" s="111"/>
      <c r="E2127" s="169"/>
      <c r="F2127" s="113"/>
      <c r="G2127" s="331"/>
      <c r="H2127" s="117"/>
      <c r="I2127" s="111"/>
    </row>
    <row r="2128" spans="3:9" ht="16.5" hidden="1" customHeight="1" x14ac:dyDescent="0.25">
      <c r="C2128" s="222"/>
      <c r="D2128" s="121" t="s">
        <v>1736</v>
      </c>
      <c r="E2128" s="168">
        <f>+E2129</f>
        <v>1333962000</v>
      </c>
      <c r="F2128" s="113">
        <f>F2129</f>
        <v>1333270000</v>
      </c>
      <c r="G2128" s="331">
        <f>F2128/E2128*100</f>
        <v>99.948124459317427</v>
      </c>
      <c r="H2128" s="114">
        <f t="shared" si="128"/>
        <v>99.948124459317427</v>
      </c>
      <c r="I2128" s="111"/>
    </row>
    <row r="2129" spans="3:9" s="115" customFormat="1" ht="16.5" hidden="1" customHeight="1" x14ac:dyDescent="0.25">
      <c r="C2129" s="222"/>
      <c r="D2129" s="121" t="s">
        <v>1737</v>
      </c>
      <c r="E2129" s="120">
        <f>E2130</f>
        <v>1333962000</v>
      </c>
      <c r="F2129" s="113">
        <f>F2130</f>
        <v>1333270000</v>
      </c>
      <c r="G2129" s="297">
        <f>F2129/E2129*100</f>
        <v>99.948124459317427</v>
      </c>
      <c r="H2129" s="114">
        <f t="shared" si="128"/>
        <v>99.948124459317427</v>
      </c>
      <c r="I2129" s="121"/>
    </row>
    <row r="2130" spans="3:9" ht="16.5" hidden="1" customHeight="1" x14ac:dyDescent="0.25">
      <c r="C2130" s="226"/>
      <c r="D2130" s="111" t="s">
        <v>1738</v>
      </c>
      <c r="E2130" s="107">
        <v>1333962000</v>
      </c>
      <c r="F2130" s="108">
        <v>1333270000</v>
      </c>
      <c r="G2130" s="276">
        <f>F2130/E2130*100</f>
        <v>99.948124459317427</v>
      </c>
      <c r="H2130" s="117">
        <f t="shared" si="128"/>
        <v>99.948124459317427</v>
      </c>
      <c r="I2130" s="111"/>
    </row>
    <row r="2131" spans="3:9" ht="16.5" hidden="1" customHeight="1" x14ac:dyDescent="0.25">
      <c r="C2131" s="226"/>
      <c r="D2131" s="111"/>
      <c r="E2131" s="169"/>
      <c r="F2131" s="108"/>
      <c r="G2131" s="331"/>
      <c r="H2131" s="117">
        <f t="shared" si="128"/>
        <v>0</v>
      </c>
      <c r="I2131" s="111"/>
    </row>
    <row r="2132" spans="3:9" ht="16.5" hidden="1" customHeight="1" x14ac:dyDescent="0.25">
      <c r="C2132" s="226"/>
      <c r="D2132" s="48" t="s">
        <v>854</v>
      </c>
      <c r="E2132" s="168">
        <f>+E2133+E2135</f>
        <v>3000000000</v>
      </c>
      <c r="F2132" s="113">
        <f>F2133+F2135</f>
        <v>2333111750</v>
      </c>
      <c r="G2132" s="331">
        <f t="shared" ref="G2132:G2137" si="129">F2132/E2132*100</f>
        <v>77.770391666666669</v>
      </c>
      <c r="H2132" s="114">
        <f>(H2133+H2135)/2</f>
        <v>82.42938749999999</v>
      </c>
      <c r="I2132" s="111"/>
    </row>
    <row r="2133" spans="3:9" s="115" customFormat="1" ht="16.5" hidden="1" customHeight="1" x14ac:dyDescent="0.25">
      <c r="C2133" s="222"/>
      <c r="D2133" s="121" t="s">
        <v>726</v>
      </c>
      <c r="E2133" s="120">
        <f>E2134</f>
        <v>1000000000</v>
      </c>
      <c r="F2133" s="113">
        <f>F2134</f>
        <v>964063750</v>
      </c>
      <c r="G2133" s="297">
        <f t="shared" si="129"/>
        <v>96.406374999999997</v>
      </c>
      <c r="H2133" s="114">
        <f t="shared" si="128"/>
        <v>96.406374999999997</v>
      </c>
      <c r="I2133" s="121"/>
    </row>
    <row r="2134" spans="3:9" s="115" customFormat="1" ht="30.75" hidden="1" customHeight="1" x14ac:dyDescent="0.25">
      <c r="C2134" s="222"/>
      <c r="D2134" s="249" t="s">
        <v>1739</v>
      </c>
      <c r="E2134" s="120">
        <v>1000000000</v>
      </c>
      <c r="F2134" s="108">
        <v>964063750</v>
      </c>
      <c r="G2134" s="276">
        <f t="shared" si="129"/>
        <v>96.406374999999997</v>
      </c>
      <c r="H2134" s="117">
        <f t="shared" si="128"/>
        <v>96.406374999999997</v>
      </c>
      <c r="I2134" s="121"/>
    </row>
    <row r="2135" spans="3:9" s="115" customFormat="1" ht="16.5" hidden="1" customHeight="1" x14ac:dyDescent="0.25">
      <c r="C2135" s="222"/>
      <c r="D2135" s="121" t="s">
        <v>1740</v>
      </c>
      <c r="E2135" s="120">
        <f>E2136+E2137</f>
        <v>2000000000</v>
      </c>
      <c r="F2135" s="113">
        <f>F2136+F2137</f>
        <v>1369048000</v>
      </c>
      <c r="G2135" s="297">
        <f t="shared" si="129"/>
        <v>68.452399999999997</v>
      </c>
      <c r="H2135" s="114">
        <f t="shared" si="128"/>
        <v>68.452399999999997</v>
      </c>
      <c r="I2135" s="121"/>
    </row>
    <row r="2136" spans="3:9" ht="26.25" hidden="1" customHeight="1" x14ac:dyDescent="0.25">
      <c r="C2136" s="226"/>
      <c r="D2136" s="118" t="s">
        <v>1741</v>
      </c>
      <c r="E2136" s="107">
        <v>1500000000</v>
      </c>
      <c r="F2136" s="108">
        <v>902136000</v>
      </c>
      <c r="G2136" s="276">
        <f t="shared" si="129"/>
        <v>60.142399999999995</v>
      </c>
      <c r="H2136" s="117">
        <f t="shared" si="128"/>
        <v>60.142399999999995</v>
      </c>
      <c r="I2136" s="111"/>
    </row>
    <row r="2137" spans="3:9" ht="16.5" hidden="1" customHeight="1" x14ac:dyDescent="0.25">
      <c r="C2137" s="226"/>
      <c r="D2137" s="111" t="s">
        <v>1742</v>
      </c>
      <c r="E2137" s="107">
        <v>500000000</v>
      </c>
      <c r="F2137" s="108">
        <v>466912000</v>
      </c>
      <c r="G2137" s="276">
        <f t="shared" si="129"/>
        <v>93.382400000000004</v>
      </c>
      <c r="H2137" s="117">
        <f t="shared" si="128"/>
        <v>93.382400000000004</v>
      </c>
      <c r="I2137" s="111"/>
    </row>
    <row r="2138" spans="3:9" ht="16.5" hidden="1" customHeight="1" x14ac:dyDescent="0.25">
      <c r="C2138" s="226"/>
      <c r="D2138" s="32"/>
      <c r="E2138" s="169"/>
      <c r="F2138" s="113"/>
      <c r="G2138" s="331"/>
      <c r="H2138" s="117">
        <f t="shared" si="128"/>
        <v>0</v>
      </c>
      <c r="I2138" s="111"/>
    </row>
    <row r="2139" spans="3:9" ht="16.5" hidden="1" customHeight="1" x14ac:dyDescent="0.25">
      <c r="C2139" s="226"/>
      <c r="D2139" s="48" t="s">
        <v>1743</v>
      </c>
      <c r="E2139" s="168">
        <f>E2140+E2142</f>
        <v>15000000000</v>
      </c>
      <c r="F2139" s="113">
        <f>F2140+F2142</f>
        <v>12310908200</v>
      </c>
      <c r="G2139" s="331">
        <f>F2139/E2139*100</f>
        <v>82.072721333333334</v>
      </c>
      <c r="H2139" s="114">
        <f>(H2140+H2142)/2</f>
        <v>86.526050999999995</v>
      </c>
      <c r="I2139" s="111"/>
    </row>
    <row r="2140" spans="3:9" s="115" customFormat="1" ht="16.5" hidden="1" customHeight="1" x14ac:dyDescent="0.25">
      <c r="C2140" s="222"/>
      <c r="D2140" s="121" t="s">
        <v>729</v>
      </c>
      <c r="E2140" s="120">
        <f>E2141</f>
        <v>10000000000</v>
      </c>
      <c r="F2140" s="113">
        <f>F2141</f>
        <v>7316606200</v>
      </c>
      <c r="G2140" s="297">
        <f>F2140/E2140*100</f>
        <v>73.166061999999997</v>
      </c>
      <c r="H2140" s="114">
        <f t="shared" si="128"/>
        <v>73.166061999999997</v>
      </c>
      <c r="I2140" s="121"/>
    </row>
    <row r="2141" spans="3:9" ht="16.5" hidden="1" customHeight="1" x14ac:dyDescent="0.25">
      <c r="C2141" s="226"/>
      <c r="D2141" s="111" t="s">
        <v>1460</v>
      </c>
      <c r="E2141" s="107">
        <v>10000000000</v>
      </c>
      <c r="F2141" s="108">
        <v>7316606200</v>
      </c>
      <c r="G2141" s="276">
        <f>F2141/E2141*100</f>
        <v>73.166061999999997</v>
      </c>
      <c r="H2141" s="117">
        <f t="shared" si="128"/>
        <v>73.166061999999997</v>
      </c>
      <c r="I2141" s="111"/>
    </row>
    <row r="2142" spans="3:9" s="115" customFormat="1" ht="16.5" hidden="1" customHeight="1" x14ac:dyDescent="0.25">
      <c r="C2142" s="222"/>
      <c r="D2142" s="121" t="s">
        <v>894</v>
      </c>
      <c r="E2142" s="120">
        <f>E2143</f>
        <v>5000000000</v>
      </c>
      <c r="F2142" s="113">
        <f>F2143</f>
        <v>4994302000</v>
      </c>
      <c r="G2142" s="297">
        <f>F2142/E2142*100</f>
        <v>99.886039999999994</v>
      </c>
      <c r="H2142" s="114">
        <f t="shared" si="128"/>
        <v>99.886039999999994</v>
      </c>
      <c r="I2142" s="121"/>
    </row>
    <row r="2143" spans="3:9" ht="16.5" hidden="1" customHeight="1" x14ac:dyDescent="0.25">
      <c r="C2143" s="226"/>
      <c r="D2143" s="111" t="s">
        <v>1744</v>
      </c>
      <c r="E2143" s="107">
        <v>5000000000</v>
      </c>
      <c r="F2143" s="108">
        <v>4994302000</v>
      </c>
      <c r="G2143" s="276">
        <f>F2143/E2143*100</f>
        <v>99.886039999999994</v>
      </c>
      <c r="H2143" s="117">
        <f t="shared" si="128"/>
        <v>99.886039999999994</v>
      </c>
      <c r="I2143" s="111"/>
    </row>
    <row r="2144" spans="3:9" ht="16.5" hidden="1" customHeight="1" x14ac:dyDescent="0.25">
      <c r="C2144" s="226"/>
      <c r="D2144" s="111"/>
      <c r="E2144" s="107"/>
      <c r="F2144" s="113"/>
      <c r="G2144" s="331"/>
      <c r="H2144" s="117">
        <f t="shared" si="128"/>
        <v>0</v>
      </c>
      <c r="I2144" s="111"/>
    </row>
    <row r="2145" spans="3:9" ht="16.5" hidden="1" customHeight="1" x14ac:dyDescent="0.25">
      <c r="C2145" s="226"/>
      <c r="D2145" s="48" t="s">
        <v>1745</v>
      </c>
      <c r="E2145" s="168">
        <f>+E2146</f>
        <v>556000000</v>
      </c>
      <c r="F2145" s="113">
        <f>F2146</f>
        <v>550850000</v>
      </c>
      <c r="G2145" s="331">
        <f>F2145/E2145*100</f>
        <v>99.073741007194243</v>
      </c>
      <c r="H2145" s="114">
        <f t="shared" si="128"/>
        <v>99.073741007194243</v>
      </c>
      <c r="I2145" s="111"/>
    </row>
    <row r="2146" spans="3:9" s="115" customFormat="1" ht="16.5" hidden="1" customHeight="1" x14ac:dyDescent="0.25">
      <c r="C2146" s="222"/>
      <c r="D2146" s="121" t="s">
        <v>1740</v>
      </c>
      <c r="E2146" s="120">
        <f>E2147</f>
        <v>556000000</v>
      </c>
      <c r="F2146" s="113">
        <f>F2147</f>
        <v>550850000</v>
      </c>
      <c r="G2146" s="297">
        <f>F2146/E2146*100</f>
        <v>99.073741007194243</v>
      </c>
      <c r="H2146" s="114">
        <f t="shared" si="128"/>
        <v>99.073741007194243</v>
      </c>
      <c r="I2146" s="121"/>
    </row>
    <row r="2147" spans="3:9" ht="16.5" hidden="1" customHeight="1" x14ac:dyDescent="0.25">
      <c r="C2147" s="226"/>
      <c r="D2147" s="111" t="s">
        <v>1746</v>
      </c>
      <c r="E2147" s="107">
        <v>556000000</v>
      </c>
      <c r="F2147" s="108">
        <v>550850000</v>
      </c>
      <c r="G2147" s="276">
        <f>F2147/E2147*100</f>
        <v>99.073741007194243</v>
      </c>
      <c r="H2147" s="117">
        <f t="shared" si="128"/>
        <v>99.073741007194243</v>
      </c>
      <c r="I2147" s="111"/>
    </row>
    <row r="2148" spans="3:9" ht="16.5" hidden="1" customHeight="1" x14ac:dyDescent="0.25">
      <c r="C2148" s="226"/>
      <c r="D2148" s="111"/>
      <c r="E2148" s="107"/>
      <c r="F2148" s="113"/>
      <c r="G2148" s="331"/>
      <c r="H2148" s="117">
        <f t="shared" si="128"/>
        <v>0</v>
      </c>
      <c r="I2148" s="111"/>
    </row>
    <row r="2149" spans="3:9" ht="16.5" hidden="1" customHeight="1" x14ac:dyDescent="0.25">
      <c r="C2149" s="226"/>
      <c r="D2149" s="48" t="s">
        <v>1747</v>
      </c>
      <c r="E2149" s="168">
        <f>+E2150+E2152+E2154</f>
        <v>3800000000</v>
      </c>
      <c r="F2149" s="113">
        <f>F2150+F2152+F2154</f>
        <v>3795810000</v>
      </c>
      <c r="G2149" s="331">
        <f t="shared" ref="G2149:G2155" si="130">F2149/E2149*100</f>
        <v>99.889736842105265</v>
      </c>
      <c r="H2149" s="114">
        <f>(H2150+H2152+H2154)/3</f>
        <v>99.821833333333345</v>
      </c>
      <c r="I2149" s="111"/>
    </row>
    <row r="2150" spans="3:9" s="115" customFormat="1" ht="16.5" hidden="1" customHeight="1" x14ac:dyDescent="0.25">
      <c r="C2150" s="222"/>
      <c r="D2150" s="121" t="s">
        <v>259</v>
      </c>
      <c r="E2150" s="120">
        <f>E2151</f>
        <v>350000000</v>
      </c>
      <c r="F2150" s="113">
        <f>F2151</f>
        <v>349300000</v>
      </c>
      <c r="G2150" s="297">
        <f t="shared" si="130"/>
        <v>99.8</v>
      </c>
      <c r="H2150" s="114">
        <f t="shared" si="128"/>
        <v>99.8</v>
      </c>
      <c r="I2150" s="121"/>
    </row>
    <row r="2151" spans="3:9" ht="16.5" hidden="1" customHeight="1" x14ac:dyDescent="0.25">
      <c r="C2151" s="226"/>
      <c r="D2151" s="111" t="s">
        <v>1748</v>
      </c>
      <c r="E2151" s="107">
        <v>350000000</v>
      </c>
      <c r="F2151" s="108">
        <v>349300000</v>
      </c>
      <c r="G2151" s="276">
        <f t="shared" si="130"/>
        <v>99.8</v>
      </c>
      <c r="H2151" s="117">
        <f t="shared" si="128"/>
        <v>99.8</v>
      </c>
      <c r="I2151" s="111"/>
    </row>
    <row r="2152" spans="3:9" s="115" customFormat="1" ht="16.5" hidden="1" customHeight="1" x14ac:dyDescent="0.25">
      <c r="C2152" s="222"/>
      <c r="D2152" s="121" t="s">
        <v>1749</v>
      </c>
      <c r="E2152" s="120">
        <f>E2153</f>
        <v>450000000</v>
      </c>
      <c r="F2152" s="113">
        <f>F2153</f>
        <v>448845000</v>
      </c>
      <c r="G2152" s="297">
        <f t="shared" si="130"/>
        <v>99.743333333333325</v>
      </c>
      <c r="H2152" s="114">
        <f t="shared" si="128"/>
        <v>99.743333333333325</v>
      </c>
      <c r="I2152" s="121"/>
    </row>
    <row r="2153" spans="3:9" ht="16.5" hidden="1" customHeight="1" x14ac:dyDescent="0.25">
      <c r="C2153" s="226"/>
      <c r="D2153" s="111" t="s">
        <v>1750</v>
      </c>
      <c r="E2153" s="107">
        <v>450000000</v>
      </c>
      <c r="F2153" s="108">
        <v>448845000</v>
      </c>
      <c r="G2153" s="276">
        <f t="shared" si="130"/>
        <v>99.743333333333325</v>
      </c>
      <c r="H2153" s="117">
        <f t="shared" si="128"/>
        <v>99.743333333333325</v>
      </c>
      <c r="I2153" s="111"/>
    </row>
    <row r="2154" spans="3:9" s="115" customFormat="1" ht="16.5" hidden="1" customHeight="1" x14ac:dyDescent="0.25">
      <c r="C2154" s="222"/>
      <c r="D2154" s="121" t="s">
        <v>1112</v>
      </c>
      <c r="E2154" s="120">
        <f>E2155</f>
        <v>3000000000</v>
      </c>
      <c r="F2154" s="113">
        <f>F2155</f>
        <v>2997665000</v>
      </c>
      <c r="G2154" s="297">
        <f t="shared" si="130"/>
        <v>99.922166666666669</v>
      </c>
      <c r="H2154" s="114">
        <f t="shared" si="128"/>
        <v>99.922166666666669</v>
      </c>
      <c r="I2154" s="121"/>
    </row>
    <row r="2155" spans="3:9" ht="16.5" hidden="1" customHeight="1" x14ac:dyDescent="0.25">
      <c r="C2155" s="226"/>
      <c r="D2155" s="111" t="s">
        <v>1751</v>
      </c>
      <c r="E2155" s="107">
        <v>3000000000</v>
      </c>
      <c r="F2155" s="108">
        <v>2997665000</v>
      </c>
      <c r="G2155" s="276">
        <f t="shared" si="130"/>
        <v>99.922166666666669</v>
      </c>
      <c r="H2155" s="117">
        <f t="shared" si="128"/>
        <v>99.922166666666669</v>
      </c>
      <c r="I2155" s="111"/>
    </row>
    <row r="2156" spans="3:9" ht="16.5" hidden="1" customHeight="1" x14ac:dyDescent="0.25">
      <c r="C2156" s="226"/>
      <c r="D2156" s="111"/>
      <c r="E2156" s="107"/>
      <c r="F2156" s="113"/>
      <c r="G2156" s="331"/>
      <c r="H2156" s="117">
        <f t="shared" si="128"/>
        <v>0</v>
      </c>
      <c r="I2156" s="111"/>
    </row>
    <row r="2157" spans="3:9" ht="16.5" hidden="1" customHeight="1" x14ac:dyDescent="0.25">
      <c r="C2157" s="226"/>
      <c r="D2157" s="121" t="s">
        <v>1250</v>
      </c>
      <c r="E2157" s="120">
        <f>E2158</f>
        <v>3039938200</v>
      </c>
      <c r="F2157" s="113">
        <f>F2158</f>
        <v>3036763200</v>
      </c>
      <c r="G2157" s="331">
        <f t="shared" ref="G2157:G2162" si="131">F2157/E2157*100</f>
        <v>99.895557087311843</v>
      </c>
      <c r="H2157" s="114">
        <f t="shared" si="128"/>
        <v>99.895557087311843</v>
      </c>
      <c r="I2157" s="111"/>
    </row>
    <row r="2158" spans="3:9" s="115" customFormat="1" ht="16.5" hidden="1" customHeight="1" x14ac:dyDescent="0.25">
      <c r="C2158" s="222"/>
      <c r="D2158" s="121" t="s">
        <v>1752</v>
      </c>
      <c r="E2158" s="120">
        <f>E2159+E2160+E2161+E2162</f>
        <v>3039938200</v>
      </c>
      <c r="F2158" s="113">
        <f>F2159+F2160+F2161+F2162</f>
        <v>3036763200</v>
      </c>
      <c r="G2158" s="297">
        <f t="shared" si="131"/>
        <v>99.895557087311843</v>
      </c>
      <c r="H2158" s="114">
        <f t="shared" si="128"/>
        <v>99.895557087311843</v>
      </c>
      <c r="I2158" s="121"/>
    </row>
    <row r="2159" spans="3:9" ht="16.5" hidden="1" customHeight="1" x14ac:dyDescent="0.25">
      <c r="C2159" s="226"/>
      <c r="D2159" s="111" t="s">
        <v>1753</v>
      </c>
      <c r="E2159" s="107">
        <v>689938200</v>
      </c>
      <c r="F2159" s="108">
        <v>689938200</v>
      </c>
      <c r="G2159" s="276">
        <f t="shared" si="131"/>
        <v>100</v>
      </c>
      <c r="H2159" s="117">
        <f t="shared" si="128"/>
        <v>100</v>
      </c>
      <c r="I2159" s="111"/>
    </row>
    <row r="2160" spans="3:9" ht="16.5" hidden="1" customHeight="1" x14ac:dyDescent="0.25">
      <c r="C2160" s="226"/>
      <c r="D2160" s="111" t="s">
        <v>1754</v>
      </c>
      <c r="E2160" s="107">
        <v>750000000</v>
      </c>
      <c r="F2160" s="108">
        <v>747500000</v>
      </c>
      <c r="G2160" s="276">
        <f t="shared" si="131"/>
        <v>99.666666666666671</v>
      </c>
      <c r="H2160" s="117">
        <f t="shared" si="128"/>
        <v>99.666666666666671</v>
      </c>
      <c r="I2160" s="111"/>
    </row>
    <row r="2161" spans="3:9" ht="16.5" hidden="1" customHeight="1" x14ac:dyDescent="0.25">
      <c r="C2161" s="226"/>
      <c r="D2161" s="111" t="s">
        <v>1755</v>
      </c>
      <c r="E2161" s="107">
        <v>600000000</v>
      </c>
      <c r="F2161" s="108">
        <v>600000000</v>
      </c>
      <c r="G2161" s="276">
        <f t="shared" si="131"/>
        <v>100</v>
      </c>
      <c r="H2161" s="117">
        <f t="shared" si="128"/>
        <v>100</v>
      </c>
      <c r="I2161" s="111"/>
    </row>
    <row r="2162" spans="3:9" ht="16.5" hidden="1" customHeight="1" x14ac:dyDescent="0.25">
      <c r="C2162" s="226"/>
      <c r="D2162" s="111" t="s">
        <v>1756</v>
      </c>
      <c r="E2162" s="107">
        <v>1000000000</v>
      </c>
      <c r="F2162" s="108">
        <v>999325000</v>
      </c>
      <c r="G2162" s="276">
        <f t="shared" si="131"/>
        <v>99.932500000000005</v>
      </c>
      <c r="H2162" s="117">
        <f t="shared" si="128"/>
        <v>99.932500000000005</v>
      </c>
      <c r="I2162" s="111"/>
    </row>
    <row r="2163" spans="3:9" ht="16.5" hidden="1" customHeight="1" x14ac:dyDescent="0.25">
      <c r="C2163" s="226"/>
      <c r="D2163" s="111"/>
      <c r="E2163" s="107"/>
      <c r="F2163" s="108"/>
      <c r="G2163" s="331"/>
      <c r="H2163" s="117">
        <f t="shared" si="128"/>
        <v>0</v>
      </c>
      <c r="I2163" s="111"/>
    </row>
    <row r="2164" spans="3:9" ht="16.5" hidden="1" customHeight="1" x14ac:dyDescent="0.25">
      <c r="C2164" s="226"/>
      <c r="D2164" s="48" t="s">
        <v>316</v>
      </c>
      <c r="E2164" s="168">
        <f>+E2165+E2167+E2169+E2173</f>
        <v>4300000000</v>
      </c>
      <c r="F2164" s="113">
        <f>F2165+F2167+F2169+F2173</f>
        <v>4242017000</v>
      </c>
      <c r="G2164" s="331">
        <f t="shared" ref="G2164:G2175" si="132">F2164/E2164*100</f>
        <v>98.651558139534885</v>
      </c>
      <c r="H2164" s="114">
        <f t="shared" si="128"/>
        <v>98.651558139534885</v>
      </c>
      <c r="I2164" s="111"/>
    </row>
    <row r="2165" spans="3:9" s="115" customFormat="1" ht="16.5" hidden="1" customHeight="1" x14ac:dyDescent="0.25">
      <c r="C2165" s="222"/>
      <c r="D2165" s="121" t="s">
        <v>486</v>
      </c>
      <c r="E2165" s="120">
        <f>E2166</f>
        <v>1000000000</v>
      </c>
      <c r="F2165" s="113">
        <f>F2166</f>
        <v>986706000</v>
      </c>
      <c r="G2165" s="297">
        <f t="shared" si="132"/>
        <v>98.670599999999993</v>
      </c>
      <c r="H2165" s="114">
        <f t="shared" si="128"/>
        <v>98.670599999999993</v>
      </c>
      <c r="I2165" s="121"/>
    </row>
    <row r="2166" spans="3:9" ht="16.5" hidden="1" customHeight="1" x14ac:dyDescent="0.25">
      <c r="C2166" s="226"/>
      <c r="D2166" s="111" t="s">
        <v>1757</v>
      </c>
      <c r="E2166" s="107">
        <v>1000000000</v>
      </c>
      <c r="F2166" s="108">
        <v>986706000</v>
      </c>
      <c r="G2166" s="276">
        <f t="shared" si="132"/>
        <v>98.670599999999993</v>
      </c>
      <c r="H2166" s="117">
        <f t="shared" si="128"/>
        <v>98.670599999999993</v>
      </c>
      <c r="I2166" s="111"/>
    </row>
    <row r="2167" spans="3:9" s="115" customFormat="1" ht="16.5" hidden="1" customHeight="1" x14ac:dyDescent="0.25">
      <c r="C2167" s="222"/>
      <c r="D2167" s="121" t="s">
        <v>776</v>
      </c>
      <c r="E2167" s="120">
        <f>E2168</f>
        <v>1000000000</v>
      </c>
      <c r="F2167" s="113">
        <f>F2168</f>
        <v>986014000</v>
      </c>
      <c r="G2167" s="297">
        <f t="shared" si="132"/>
        <v>98.601399999999998</v>
      </c>
      <c r="H2167" s="114">
        <f t="shared" si="128"/>
        <v>98.601399999999998</v>
      </c>
      <c r="I2167" s="121"/>
    </row>
    <row r="2168" spans="3:9" ht="16.5" hidden="1" customHeight="1" x14ac:dyDescent="0.25">
      <c r="C2168" s="226"/>
      <c r="D2168" s="111" t="s">
        <v>1758</v>
      </c>
      <c r="E2168" s="107">
        <v>1000000000</v>
      </c>
      <c r="F2168" s="108">
        <v>986014000</v>
      </c>
      <c r="G2168" s="276">
        <f t="shared" si="132"/>
        <v>98.601399999999998</v>
      </c>
      <c r="H2168" s="117">
        <f t="shared" si="128"/>
        <v>98.601399999999998</v>
      </c>
      <c r="I2168" s="111"/>
    </row>
    <row r="2169" spans="3:9" s="115" customFormat="1" ht="16.5" hidden="1" customHeight="1" x14ac:dyDescent="0.25">
      <c r="C2169" s="222"/>
      <c r="D2169" s="121" t="s">
        <v>1759</v>
      </c>
      <c r="E2169" s="120">
        <f>E2170+E2171+E2172</f>
        <v>1150000000</v>
      </c>
      <c r="F2169" s="113">
        <f>F2170+F2171+F2172</f>
        <v>1132739000</v>
      </c>
      <c r="G2169" s="297">
        <f t="shared" si="132"/>
        <v>98.499043478260873</v>
      </c>
      <c r="H2169" s="114">
        <f t="shared" si="128"/>
        <v>98.499043478260873</v>
      </c>
      <c r="I2169" s="121"/>
    </row>
    <row r="2170" spans="3:9" ht="16.5" hidden="1" customHeight="1" x14ac:dyDescent="0.25">
      <c r="C2170" s="226"/>
      <c r="D2170" s="111" t="s">
        <v>1760</v>
      </c>
      <c r="E2170" s="107">
        <v>250000000</v>
      </c>
      <c r="F2170" s="108">
        <v>247347000</v>
      </c>
      <c r="G2170" s="276">
        <f t="shared" si="132"/>
        <v>98.938800000000001</v>
      </c>
      <c r="H2170" s="117">
        <f t="shared" si="128"/>
        <v>98.938800000000001</v>
      </c>
      <c r="I2170" s="111"/>
    </row>
    <row r="2171" spans="3:9" ht="16.5" hidden="1" customHeight="1" x14ac:dyDescent="0.25">
      <c r="C2171" s="226"/>
      <c r="D2171" s="111" t="s">
        <v>1761</v>
      </c>
      <c r="E2171" s="107">
        <v>400000000</v>
      </c>
      <c r="F2171" s="108">
        <v>393513000</v>
      </c>
      <c r="G2171" s="276">
        <f t="shared" si="132"/>
        <v>98.378249999999994</v>
      </c>
      <c r="H2171" s="117">
        <f t="shared" si="128"/>
        <v>98.378249999999994</v>
      </c>
      <c r="I2171" s="111"/>
    </row>
    <row r="2172" spans="3:9" ht="16.5" hidden="1" customHeight="1" x14ac:dyDescent="0.25">
      <c r="C2172" s="226"/>
      <c r="D2172" s="111" t="s">
        <v>1436</v>
      </c>
      <c r="E2172" s="107">
        <v>500000000</v>
      </c>
      <c r="F2172" s="108">
        <v>491879000</v>
      </c>
      <c r="G2172" s="276">
        <f t="shared" si="132"/>
        <v>98.375799999999998</v>
      </c>
      <c r="H2172" s="117">
        <f t="shared" si="128"/>
        <v>98.375799999999998</v>
      </c>
      <c r="I2172" s="111"/>
    </row>
    <row r="2173" spans="3:9" s="115" customFormat="1" ht="16.5" hidden="1" customHeight="1" x14ac:dyDescent="0.25">
      <c r="C2173" s="222"/>
      <c r="D2173" s="121" t="s">
        <v>1762</v>
      </c>
      <c r="E2173" s="120">
        <f>E2174+E2175</f>
        <v>1150000000</v>
      </c>
      <c r="F2173" s="113">
        <f>F2174+F2175</f>
        <v>1136558000</v>
      </c>
      <c r="G2173" s="297">
        <f t="shared" si="132"/>
        <v>98.831130434782608</v>
      </c>
      <c r="H2173" s="114">
        <f t="shared" si="128"/>
        <v>98.831130434782608</v>
      </c>
      <c r="I2173" s="121"/>
    </row>
    <row r="2174" spans="3:9" ht="16.5" hidden="1" customHeight="1" x14ac:dyDescent="0.25">
      <c r="C2174" s="226"/>
      <c r="D2174" s="111" t="s">
        <v>1763</v>
      </c>
      <c r="E2174" s="107">
        <v>650000000</v>
      </c>
      <c r="F2174" s="108">
        <v>641016000</v>
      </c>
      <c r="G2174" s="276">
        <f t="shared" si="132"/>
        <v>98.617846153846159</v>
      </c>
      <c r="H2174" s="117">
        <f t="shared" si="128"/>
        <v>98.617846153846159</v>
      </c>
      <c r="I2174" s="111"/>
    </row>
    <row r="2175" spans="3:9" ht="16.5" hidden="1" customHeight="1" x14ac:dyDescent="0.25">
      <c r="C2175" s="226"/>
      <c r="D2175" s="111" t="s">
        <v>1764</v>
      </c>
      <c r="E2175" s="107">
        <v>500000000</v>
      </c>
      <c r="F2175" s="108">
        <v>495542000</v>
      </c>
      <c r="G2175" s="276">
        <f t="shared" si="132"/>
        <v>99.108400000000003</v>
      </c>
      <c r="H2175" s="117">
        <f t="shared" si="128"/>
        <v>99.108400000000003</v>
      </c>
      <c r="I2175" s="111"/>
    </row>
    <row r="2176" spans="3:9" ht="16.5" hidden="1" customHeight="1" x14ac:dyDescent="0.25">
      <c r="C2176" s="226"/>
      <c r="D2176" s="111"/>
      <c r="E2176" s="107"/>
      <c r="F2176" s="108"/>
      <c r="G2176" s="331"/>
      <c r="H2176" s="117"/>
      <c r="I2176" s="111"/>
    </row>
    <row r="2177" spans="3:9" ht="16.5" hidden="1" customHeight="1" x14ac:dyDescent="0.25">
      <c r="C2177" s="226"/>
      <c r="D2177" s="48" t="s">
        <v>1265</v>
      </c>
      <c r="E2177" s="169">
        <f>+E2178</f>
        <v>300000000</v>
      </c>
      <c r="F2177" s="113">
        <f>F2178</f>
        <v>300000000</v>
      </c>
      <c r="G2177" s="331">
        <f>F2177/E2177*100</f>
        <v>100</v>
      </c>
      <c r="H2177" s="114">
        <f t="shared" ref="H2177:H2222" si="133">+G2177</f>
        <v>100</v>
      </c>
      <c r="I2177" s="111"/>
    </row>
    <row r="2178" spans="3:9" s="115" customFormat="1" ht="16.5" hidden="1" customHeight="1" x14ac:dyDescent="0.25">
      <c r="C2178" s="222"/>
      <c r="D2178" s="121" t="s">
        <v>874</v>
      </c>
      <c r="E2178" s="120">
        <f>E2179</f>
        <v>300000000</v>
      </c>
      <c r="F2178" s="113">
        <f>F2179</f>
        <v>300000000</v>
      </c>
      <c r="G2178" s="297">
        <f>F2178/E2178*100</f>
        <v>100</v>
      </c>
      <c r="H2178" s="114">
        <f t="shared" si="133"/>
        <v>100</v>
      </c>
      <c r="I2178" s="121"/>
    </row>
    <row r="2179" spans="3:9" ht="16.5" hidden="1" customHeight="1" x14ac:dyDescent="0.25">
      <c r="C2179" s="226"/>
      <c r="D2179" s="111" t="s">
        <v>1765</v>
      </c>
      <c r="E2179" s="107">
        <v>300000000</v>
      </c>
      <c r="F2179" s="108">
        <v>300000000</v>
      </c>
      <c r="G2179" s="276">
        <f>F2179/E2179*100</f>
        <v>100</v>
      </c>
      <c r="H2179" s="117">
        <f t="shared" si="133"/>
        <v>100</v>
      </c>
      <c r="I2179" s="111"/>
    </row>
    <row r="2180" spans="3:9" ht="16.5" hidden="1" customHeight="1" x14ac:dyDescent="0.25">
      <c r="C2180" s="226"/>
      <c r="D2180" s="32"/>
      <c r="E2180" s="169"/>
      <c r="F2180" s="113"/>
      <c r="G2180" s="331"/>
      <c r="H2180" s="117"/>
      <c r="I2180" s="111"/>
    </row>
    <row r="2181" spans="3:9" ht="16.5" hidden="1" customHeight="1" x14ac:dyDescent="0.25">
      <c r="C2181" s="226"/>
      <c r="D2181" s="48" t="s">
        <v>1766</v>
      </c>
      <c r="E2181" s="168">
        <f>+E2182+E2187</f>
        <v>3150000000</v>
      </c>
      <c r="F2181" s="113">
        <f>F2182+F2187</f>
        <v>3146457000</v>
      </c>
      <c r="G2181" s="331">
        <f t="shared" ref="G2181:G2188" si="134">F2181/E2181*100</f>
        <v>99.887523809523813</v>
      </c>
      <c r="H2181" s="114">
        <f t="shared" si="133"/>
        <v>99.887523809523813</v>
      </c>
      <c r="I2181" s="111"/>
    </row>
    <row r="2182" spans="3:9" s="115" customFormat="1" ht="16.5" hidden="1" customHeight="1" x14ac:dyDescent="0.25">
      <c r="C2182" s="222"/>
      <c r="D2182" s="121" t="s">
        <v>899</v>
      </c>
      <c r="E2182" s="120">
        <f>E2183+E2184+E2185+E2186</f>
        <v>2618000000</v>
      </c>
      <c r="F2182" s="113">
        <f>F2183+F2184+F2185+F2186</f>
        <v>2614457000</v>
      </c>
      <c r="G2182" s="297">
        <f t="shared" si="134"/>
        <v>99.864667685255924</v>
      </c>
      <c r="H2182" s="114">
        <f t="shared" si="133"/>
        <v>99.864667685255924</v>
      </c>
      <c r="I2182" s="121"/>
    </row>
    <row r="2183" spans="3:9" ht="16.5" hidden="1" customHeight="1" x14ac:dyDescent="0.25">
      <c r="C2183" s="226"/>
      <c r="D2183" s="111" t="s">
        <v>1767</v>
      </c>
      <c r="E2183" s="107">
        <v>565000000</v>
      </c>
      <c r="F2183" s="108">
        <v>563500000</v>
      </c>
      <c r="G2183" s="276">
        <f t="shared" si="134"/>
        <v>99.73451327433628</v>
      </c>
      <c r="H2183" s="117">
        <f t="shared" si="133"/>
        <v>99.73451327433628</v>
      </c>
      <c r="I2183" s="111"/>
    </row>
    <row r="2184" spans="3:9" ht="16.5" hidden="1" customHeight="1" x14ac:dyDescent="0.25">
      <c r="C2184" s="226"/>
      <c r="D2184" s="111" t="s">
        <v>1768</v>
      </c>
      <c r="E2184" s="107">
        <v>665000000</v>
      </c>
      <c r="F2184" s="108">
        <v>665000000</v>
      </c>
      <c r="G2184" s="276">
        <f t="shared" si="134"/>
        <v>100</v>
      </c>
      <c r="H2184" s="117">
        <f t="shared" si="133"/>
        <v>100</v>
      </c>
      <c r="I2184" s="111"/>
    </row>
    <row r="2185" spans="3:9" ht="16.5" hidden="1" customHeight="1" x14ac:dyDescent="0.25">
      <c r="C2185" s="226"/>
      <c r="D2185" s="111" t="s">
        <v>1769</v>
      </c>
      <c r="E2185" s="107">
        <v>698000000</v>
      </c>
      <c r="F2185" s="108">
        <v>698000000</v>
      </c>
      <c r="G2185" s="276">
        <f t="shared" si="134"/>
        <v>100</v>
      </c>
      <c r="H2185" s="117">
        <f t="shared" si="133"/>
        <v>100</v>
      </c>
      <c r="I2185" s="111"/>
    </row>
    <row r="2186" spans="3:9" ht="16.5" hidden="1" customHeight="1" x14ac:dyDescent="0.25">
      <c r="C2186" s="226"/>
      <c r="D2186" s="111" t="s">
        <v>1770</v>
      </c>
      <c r="E2186" s="107">
        <v>690000000</v>
      </c>
      <c r="F2186" s="108">
        <v>687957000</v>
      </c>
      <c r="G2186" s="276">
        <f t="shared" si="134"/>
        <v>99.703913043478266</v>
      </c>
      <c r="H2186" s="117">
        <f t="shared" si="133"/>
        <v>99.703913043478266</v>
      </c>
      <c r="I2186" s="111"/>
    </row>
    <row r="2187" spans="3:9" s="115" customFormat="1" ht="16.5" hidden="1" customHeight="1" x14ac:dyDescent="0.25">
      <c r="C2187" s="222"/>
      <c r="D2187" s="121" t="s">
        <v>896</v>
      </c>
      <c r="E2187" s="120">
        <f>E2188</f>
        <v>532000000</v>
      </c>
      <c r="F2187" s="113">
        <f>F2188</f>
        <v>532000000</v>
      </c>
      <c r="G2187" s="276">
        <f t="shared" si="134"/>
        <v>100</v>
      </c>
      <c r="H2187" s="117">
        <f t="shared" si="133"/>
        <v>100</v>
      </c>
      <c r="I2187" s="121"/>
    </row>
    <row r="2188" spans="3:9" ht="16.5" hidden="1" customHeight="1" x14ac:dyDescent="0.25">
      <c r="C2188" s="226"/>
      <c r="D2188" s="111" t="s">
        <v>1771</v>
      </c>
      <c r="E2188" s="107">
        <v>532000000</v>
      </c>
      <c r="F2188" s="108">
        <v>532000000</v>
      </c>
      <c r="G2188" s="276">
        <f t="shared" si="134"/>
        <v>100</v>
      </c>
      <c r="H2188" s="117">
        <f t="shared" si="133"/>
        <v>100</v>
      </c>
      <c r="I2188" s="111"/>
    </row>
    <row r="2189" spans="3:9" ht="16.5" hidden="1" customHeight="1" x14ac:dyDescent="0.25">
      <c r="C2189" s="226"/>
      <c r="D2189" s="32"/>
      <c r="E2189" s="169"/>
      <c r="F2189" s="113"/>
      <c r="G2189" s="331"/>
      <c r="H2189" s="117"/>
      <c r="I2189" s="111"/>
    </row>
    <row r="2190" spans="3:9" ht="16.5" hidden="1" customHeight="1" x14ac:dyDescent="0.25">
      <c r="C2190" s="226"/>
      <c r="D2190" s="48" t="s">
        <v>869</v>
      </c>
      <c r="E2190" s="168">
        <v>1000000000</v>
      </c>
      <c r="F2190" s="113">
        <f>F2191</f>
        <v>587208300</v>
      </c>
      <c r="G2190" s="331">
        <f>F2190/E2190*100</f>
        <v>58.720829999999999</v>
      </c>
      <c r="H2190" s="114">
        <f t="shared" si="133"/>
        <v>58.720829999999999</v>
      </c>
      <c r="I2190" s="111"/>
    </row>
    <row r="2191" spans="3:9" s="115" customFormat="1" ht="16.5" hidden="1" customHeight="1" x14ac:dyDescent="0.25">
      <c r="C2191" s="222"/>
      <c r="D2191" s="121" t="s">
        <v>1285</v>
      </c>
      <c r="E2191" s="120">
        <f>E2192</f>
        <v>1000000000</v>
      </c>
      <c r="F2191" s="113">
        <f>F2192</f>
        <v>587208300</v>
      </c>
      <c r="G2191" s="297">
        <f>F2191/E2191*100</f>
        <v>58.720829999999999</v>
      </c>
      <c r="H2191" s="114">
        <f t="shared" si="133"/>
        <v>58.720829999999999</v>
      </c>
      <c r="I2191" s="121"/>
    </row>
    <row r="2192" spans="3:9" ht="16.5" hidden="1" customHeight="1" x14ac:dyDescent="0.25">
      <c r="C2192" s="226"/>
      <c r="D2192" s="111" t="s">
        <v>1772</v>
      </c>
      <c r="E2192" s="107">
        <v>1000000000</v>
      </c>
      <c r="F2192" s="108">
        <v>587208300</v>
      </c>
      <c r="G2192" s="276">
        <f>F2192/E2192*100</f>
        <v>58.720829999999999</v>
      </c>
      <c r="H2192" s="117">
        <f t="shared" si="133"/>
        <v>58.720829999999999</v>
      </c>
      <c r="I2192" s="111"/>
    </row>
    <row r="2193" spans="3:9" ht="16.5" hidden="1" customHeight="1" x14ac:dyDescent="0.25">
      <c r="C2193" s="226"/>
      <c r="D2193" s="111"/>
      <c r="E2193" s="107"/>
      <c r="F2193" s="108"/>
      <c r="G2193" s="331"/>
      <c r="H2193" s="117">
        <f t="shared" si="133"/>
        <v>0</v>
      </c>
      <c r="I2193" s="111"/>
    </row>
    <row r="2194" spans="3:9" ht="16.5" hidden="1" customHeight="1" x14ac:dyDescent="0.25">
      <c r="C2194" s="226"/>
      <c r="D2194" s="48" t="s">
        <v>348</v>
      </c>
      <c r="E2194" s="168">
        <f>+E2195</f>
        <v>555950600</v>
      </c>
      <c r="F2194" s="113">
        <f>F2195</f>
        <v>553000000</v>
      </c>
      <c r="G2194" s="365">
        <f>F2194/E2194*100</f>
        <v>99.46926939192079</v>
      </c>
      <c r="H2194" s="117">
        <f t="shared" si="133"/>
        <v>99.46926939192079</v>
      </c>
      <c r="I2194" s="111"/>
    </row>
    <row r="2195" spans="3:9" ht="16.5" hidden="1" customHeight="1" x14ac:dyDescent="0.25">
      <c r="C2195" s="226"/>
      <c r="D2195" s="121" t="s">
        <v>1773</v>
      </c>
      <c r="E2195" s="120">
        <f>E2196</f>
        <v>555950600</v>
      </c>
      <c r="F2195" s="113">
        <f>F2196</f>
        <v>553000000</v>
      </c>
      <c r="G2195" s="297">
        <f>F2195/E2195*100</f>
        <v>99.46926939192079</v>
      </c>
      <c r="H2195" s="117">
        <f t="shared" si="133"/>
        <v>99.46926939192079</v>
      </c>
      <c r="I2195" s="111"/>
    </row>
    <row r="2196" spans="3:9" ht="16.5" hidden="1" customHeight="1" x14ac:dyDescent="0.25">
      <c r="C2196" s="226"/>
      <c r="D2196" s="111" t="s">
        <v>1774</v>
      </c>
      <c r="E2196" s="107">
        <v>555950600</v>
      </c>
      <c r="F2196" s="108">
        <v>553000000</v>
      </c>
      <c r="G2196" s="276">
        <f>F2196/E2196*100</f>
        <v>99.46926939192079</v>
      </c>
      <c r="H2196" s="117">
        <f t="shared" si="133"/>
        <v>99.46926939192079</v>
      </c>
      <c r="I2196" s="111"/>
    </row>
    <row r="2197" spans="3:9" ht="16.5" hidden="1" customHeight="1" x14ac:dyDescent="0.25">
      <c r="C2197" s="226"/>
      <c r="D2197" s="111"/>
      <c r="E2197" s="107"/>
      <c r="F2197" s="108"/>
      <c r="G2197" s="331"/>
      <c r="H2197" s="117"/>
      <c r="I2197" s="111"/>
    </row>
    <row r="2198" spans="3:9" ht="16.5" hidden="1" customHeight="1" x14ac:dyDescent="0.25">
      <c r="C2198" s="226"/>
      <c r="D2198" s="48" t="s">
        <v>1775</v>
      </c>
      <c r="E2198" s="168">
        <f>+E2199+E2202</f>
        <v>1250000000</v>
      </c>
      <c r="F2198" s="113">
        <f>F2199+F2202</f>
        <v>1250000000</v>
      </c>
      <c r="G2198" s="365">
        <f t="shared" ref="G2198:G2203" si="135">F2198/E2198*100</f>
        <v>100</v>
      </c>
      <c r="H2198" s="117">
        <f t="shared" si="133"/>
        <v>100</v>
      </c>
      <c r="I2198" s="111"/>
    </row>
    <row r="2199" spans="3:9" s="115" customFormat="1" ht="16.5" hidden="1" customHeight="1" x14ac:dyDescent="0.25">
      <c r="C2199" s="222"/>
      <c r="D2199" s="121" t="s">
        <v>370</v>
      </c>
      <c r="E2199" s="120">
        <f>E2200+E2201</f>
        <v>950000000</v>
      </c>
      <c r="F2199" s="113">
        <f>F2200+F2201</f>
        <v>950000000</v>
      </c>
      <c r="G2199" s="297">
        <f t="shared" si="135"/>
        <v>100</v>
      </c>
      <c r="H2199" s="117">
        <f t="shared" si="133"/>
        <v>100</v>
      </c>
      <c r="I2199" s="121"/>
    </row>
    <row r="2200" spans="3:9" ht="16.5" hidden="1" customHeight="1" x14ac:dyDescent="0.25">
      <c r="C2200" s="226"/>
      <c r="D2200" s="111" t="s">
        <v>1776</v>
      </c>
      <c r="E2200" s="107">
        <v>300000000</v>
      </c>
      <c r="F2200" s="108">
        <v>300000000</v>
      </c>
      <c r="G2200" s="276">
        <f t="shared" si="135"/>
        <v>100</v>
      </c>
      <c r="H2200" s="117">
        <f t="shared" si="133"/>
        <v>100</v>
      </c>
      <c r="I2200" s="111"/>
    </row>
    <row r="2201" spans="3:9" ht="16.5" hidden="1" customHeight="1" x14ac:dyDescent="0.25">
      <c r="C2201" s="226"/>
      <c r="D2201" s="111" t="s">
        <v>1777</v>
      </c>
      <c r="E2201" s="107">
        <v>650000000</v>
      </c>
      <c r="F2201" s="108">
        <v>650000000</v>
      </c>
      <c r="G2201" s="276">
        <f t="shared" si="135"/>
        <v>100</v>
      </c>
      <c r="H2201" s="117">
        <f t="shared" si="133"/>
        <v>100</v>
      </c>
      <c r="I2201" s="111"/>
    </row>
    <row r="2202" spans="3:9" s="115" customFormat="1" ht="16.5" hidden="1" customHeight="1" x14ac:dyDescent="0.25">
      <c r="C2202" s="222"/>
      <c r="D2202" s="121" t="s">
        <v>899</v>
      </c>
      <c r="E2202" s="120">
        <f>E2203</f>
        <v>300000000</v>
      </c>
      <c r="F2202" s="113">
        <f>F2203</f>
        <v>300000000</v>
      </c>
      <c r="G2202" s="297">
        <f t="shared" si="135"/>
        <v>100</v>
      </c>
      <c r="H2202" s="117">
        <f t="shared" si="133"/>
        <v>100</v>
      </c>
      <c r="I2202" s="121"/>
    </row>
    <row r="2203" spans="3:9" ht="16.5" hidden="1" customHeight="1" x14ac:dyDescent="0.25">
      <c r="C2203" s="226"/>
      <c r="D2203" s="32" t="s">
        <v>1778</v>
      </c>
      <c r="E2203" s="107">
        <v>300000000</v>
      </c>
      <c r="F2203" s="108">
        <v>300000000</v>
      </c>
      <c r="G2203" s="276">
        <f t="shared" si="135"/>
        <v>100</v>
      </c>
      <c r="H2203" s="117">
        <f t="shared" si="133"/>
        <v>100</v>
      </c>
      <c r="I2203" s="111"/>
    </row>
    <row r="2204" spans="3:9" ht="16.5" hidden="1" customHeight="1" x14ac:dyDescent="0.25">
      <c r="C2204" s="226"/>
      <c r="D2204" s="32"/>
      <c r="E2204" s="169"/>
      <c r="F2204" s="108"/>
      <c r="G2204" s="331"/>
      <c r="H2204" s="117"/>
      <c r="I2204" s="111"/>
    </row>
    <row r="2205" spans="3:9" ht="16.5" hidden="1" customHeight="1" x14ac:dyDescent="0.25">
      <c r="C2205" s="226"/>
      <c r="D2205" s="48" t="s">
        <v>1779</v>
      </c>
      <c r="E2205" s="168">
        <f>+E2206</f>
        <v>700000000</v>
      </c>
      <c r="F2205" s="113">
        <f>F2206</f>
        <v>695150000</v>
      </c>
      <c r="G2205" s="365">
        <f>F2205/E2205*100</f>
        <v>99.307142857142864</v>
      </c>
      <c r="H2205" s="117">
        <f t="shared" si="133"/>
        <v>99.307142857142864</v>
      </c>
      <c r="I2205" s="111"/>
    </row>
    <row r="2206" spans="3:9" s="115" customFormat="1" ht="16.5" hidden="1" customHeight="1" x14ac:dyDescent="0.25">
      <c r="C2206" s="222"/>
      <c r="D2206" s="121" t="s">
        <v>1117</v>
      </c>
      <c r="E2206" s="120">
        <f>E2207</f>
        <v>700000000</v>
      </c>
      <c r="F2206" s="113">
        <f>F2207</f>
        <v>695150000</v>
      </c>
      <c r="G2206" s="297">
        <f>F2206/E2206*100</f>
        <v>99.307142857142864</v>
      </c>
      <c r="H2206" s="117">
        <f t="shared" si="133"/>
        <v>99.307142857142864</v>
      </c>
      <c r="I2206" s="121"/>
    </row>
    <row r="2207" spans="3:9" ht="16.5" hidden="1" customHeight="1" x14ac:dyDescent="0.25">
      <c r="C2207" s="226"/>
      <c r="D2207" s="111" t="s">
        <v>1780</v>
      </c>
      <c r="E2207" s="107">
        <v>700000000</v>
      </c>
      <c r="F2207" s="108">
        <v>695150000</v>
      </c>
      <c r="G2207" s="276">
        <f>F2207/E2207*100</f>
        <v>99.307142857142864</v>
      </c>
      <c r="H2207" s="117">
        <f t="shared" si="133"/>
        <v>99.307142857142864</v>
      </c>
      <c r="I2207" s="111"/>
    </row>
    <row r="2208" spans="3:9" ht="16.5" hidden="1" customHeight="1" x14ac:dyDescent="0.25">
      <c r="C2208" s="226"/>
      <c r="D2208" s="32"/>
      <c r="E2208" s="169"/>
      <c r="F2208" s="113"/>
      <c r="G2208" s="331"/>
      <c r="H2208" s="117"/>
      <c r="I2208" s="111"/>
    </row>
    <row r="2209" spans="3:9" ht="16.5" hidden="1" customHeight="1" x14ac:dyDescent="0.25">
      <c r="C2209" s="226"/>
      <c r="D2209" s="48" t="s">
        <v>765</v>
      </c>
      <c r="E2209" s="168">
        <f>+E2210</f>
        <v>1000000000</v>
      </c>
      <c r="F2209" s="113">
        <f>F2210</f>
        <v>997110800</v>
      </c>
      <c r="G2209" s="365">
        <f>F2209/E2209*100</f>
        <v>99.711079999999995</v>
      </c>
      <c r="H2209" s="117">
        <f t="shared" si="133"/>
        <v>99.711079999999995</v>
      </c>
      <c r="I2209" s="111"/>
    </row>
    <row r="2210" spans="3:9" ht="16.5" hidden="1" customHeight="1" x14ac:dyDescent="0.25">
      <c r="C2210" s="226"/>
      <c r="D2210" s="121" t="s">
        <v>418</v>
      </c>
      <c r="E2210" s="120">
        <f>+E2211+E2212</f>
        <v>1000000000</v>
      </c>
      <c r="F2210" s="113">
        <f>F2211+F2212</f>
        <v>997110800</v>
      </c>
      <c r="G2210" s="297">
        <f>F2210/E2210*100</f>
        <v>99.711079999999995</v>
      </c>
      <c r="H2210" s="117">
        <f t="shared" si="133"/>
        <v>99.711079999999995</v>
      </c>
      <c r="I2210" s="111"/>
    </row>
    <row r="2211" spans="3:9" ht="16.5" hidden="1" customHeight="1" x14ac:dyDescent="0.25">
      <c r="C2211" s="226"/>
      <c r="D2211" s="111" t="s">
        <v>1781</v>
      </c>
      <c r="E2211" s="107">
        <v>500000000</v>
      </c>
      <c r="F2211" s="108">
        <v>498450800</v>
      </c>
      <c r="G2211" s="276">
        <f>F2211/E2211*100</f>
        <v>99.690160000000006</v>
      </c>
      <c r="H2211" s="117">
        <f t="shared" si="133"/>
        <v>99.690160000000006</v>
      </c>
      <c r="I2211" s="111"/>
    </row>
    <row r="2212" spans="3:9" ht="16.5" hidden="1" customHeight="1" x14ac:dyDescent="0.25">
      <c r="C2212" s="226"/>
      <c r="D2212" s="111" t="s">
        <v>1782</v>
      </c>
      <c r="E2212" s="107">
        <v>500000000</v>
      </c>
      <c r="F2212" s="108">
        <v>498660000</v>
      </c>
      <c r="G2212" s="276">
        <f>F2212/E2212*100</f>
        <v>99.731999999999999</v>
      </c>
      <c r="H2212" s="117">
        <f t="shared" si="133"/>
        <v>99.731999999999999</v>
      </c>
      <c r="I2212" s="111"/>
    </row>
    <row r="2213" spans="3:9" ht="16.5" hidden="1" customHeight="1" x14ac:dyDescent="0.25">
      <c r="C2213" s="226"/>
      <c r="D2213" s="32"/>
      <c r="E2213" s="169"/>
      <c r="F2213" s="108"/>
      <c r="G2213" s="331"/>
      <c r="H2213" s="117"/>
      <c r="I2213" s="111"/>
    </row>
    <row r="2214" spans="3:9" ht="16.5" hidden="1" customHeight="1" x14ac:dyDescent="0.25">
      <c r="C2214" s="226"/>
      <c r="D2214" s="48" t="s">
        <v>905</v>
      </c>
      <c r="E2214" s="168">
        <f>+E2215+E2219+E2221</f>
        <v>1811195060</v>
      </c>
      <c r="F2214" s="113">
        <f>F2215+F2219+F2221</f>
        <v>1809595060</v>
      </c>
      <c r="G2214" s="331">
        <f t="shared" ref="G2214:G2222" si="136">F2214/E2214*100</f>
        <v>99.911660536441616</v>
      </c>
      <c r="H2214" s="114">
        <f>(H2215+H2219+H2221)/3</f>
        <v>99.895669310002063</v>
      </c>
      <c r="I2214" s="111"/>
    </row>
    <row r="2215" spans="3:9" s="115" customFormat="1" ht="16.5" hidden="1" customHeight="1" x14ac:dyDescent="0.25">
      <c r="C2215" s="222"/>
      <c r="D2215" s="121" t="s">
        <v>1783</v>
      </c>
      <c r="E2215" s="120">
        <f>E2216+E2217+E2218</f>
        <v>1000000000</v>
      </c>
      <c r="F2215" s="113">
        <f>F2216+F2217+F2218</f>
        <v>1000000000</v>
      </c>
      <c r="G2215" s="297">
        <f t="shared" si="136"/>
        <v>100</v>
      </c>
      <c r="H2215" s="114">
        <f>SUM(H2216:H2218)/3</f>
        <v>100</v>
      </c>
      <c r="I2215" s="121"/>
    </row>
    <row r="2216" spans="3:9" ht="17.25" hidden="1" customHeight="1" x14ac:dyDescent="0.25">
      <c r="C2216" s="226"/>
      <c r="D2216" s="111" t="s">
        <v>1784</v>
      </c>
      <c r="E2216" s="107">
        <v>200000000</v>
      </c>
      <c r="F2216" s="108">
        <v>200000000</v>
      </c>
      <c r="G2216" s="276">
        <f t="shared" si="136"/>
        <v>100</v>
      </c>
      <c r="H2216" s="117">
        <f t="shared" si="133"/>
        <v>100</v>
      </c>
      <c r="I2216" s="111"/>
    </row>
    <row r="2217" spans="3:9" ht="16.5" hidden="1" customHeight="1" x14ac:dyDescent="0.25">
      <c r="C2217" s="226"/>
      <c r="D2217" s="111" t="s">
        <v>1785</v>
      </c>
      <c r="E2217" s="107">
        <v>400000000</v>
      </c>
      <c r="F2217" s="108">
        <v>400000000</v>
      </c>
      <c r="G2217" s="276">
        <f t="shared" si="136"/>
        <v>100</v>
      </c>
      <c r="H2217" s="117">
        <f t="shared" si="133"/>
        <v>100</v>
      </c>
      <c r="I2217" s="111"/>
    </row>
    <row r="2218" spans="3:9" ht="16.5" hidden="1" customHeight="1" x14ac:dyDescent="0.25">
      <c r="C2218" s="226"/>
      <c r="D2218" s="111" t="s">
        <v>1786</v>
      </c>
      <c r="E2218" s="107">
        <v>400000000</v>
      </c>
      <c r="F2218" s="108">
        <v>400000000</v>
      </c>
      <c r="G2218" s="276">
        <f t="shared" si="136"/>
        <v>100</v>
      </c>
      <c r="H2218" s="117">
        <f t="shared" si="133"/>
        <v>100</v>
      </c>
      <c r="I2218" s="111"/>
    </row>
    <row r="2219" spans="3:9" s="115" customFormat="1" ht="16.5" hidden="1" customHeight="1" x14ac:dyDescent="0.25">
      <c r="C2219" s="222"/>
      <c r="D2219" s="121" t="s">
        <v>1499</v>
      </c>
      <c r="E2219" s="120">
        <f>E2220</f>
        <v>300000000</v>
      </c>
      <c r="F2219" s="113">
        <f>F2220</f>
        <v>300000000</v>
      </c>
      <c r="G2219" s="297">
        <f t="shared" si="136"/>
        <v>100</v>
      </c>
      <c r="H2219" s="114">
        <f t="shared" si="133"/>
        <v>100</v>
      </c>
      <c r="I2219" s="121"/>
    </row>
    <row r="2220" spans="3:9" ht="16.5" hidden="1" customHeight="1" x14ac:dyDescent="0.25">
      <c r="C2220" s="226"/>
      <c r="D2220" s="111" t="s">
        <v>1787</v>
      </c>
      <c r="E2220" s="107">
        <v>300000000</v>
      </c>
      <c r="F2220" s="108">
        <v>300000000</v>
      </c>
      <c r="G2220" s="276">
        <f t="shared" si="136"/>
        <v>100</v>
      </c>
      <c r="H2220" s="117">
        <f t="shared" si="133"/>
        <v>100</v>
      </c>
      <c r="I2220" s="111"/>
    </row>
    <row r="2221" spans="3:9" s="115" customFormat="1" ht="16.5" hidden="1" customHeight="1" x14ac:dyDescent="0.25">
      <c r="C2221" s="222"/>
      <c r="D2221" s="121" t="s">
        <v>400</v>
      </c>
      <c r="E2221" s="120">
        <f>E2222</f>
        <v>511195060</v>
      </c>
      <c r="F2221" s="113">
        <f>F2222</f>
        <v>509595060</v>
      </c>
      <c r="G2221" s="297">
        <f t="shared" si="136"/>
        <v>99.687007930006217</v>
      </c>
      <c r="H2221" s="114">
        <f t="shared" si="133"/>
        <v>99.687007930006217</v>
      </c>
      <c r="I2221" s="121"/>
    </row>
    <row r="2222" spans="3:9" ht="16.5" hidden="1" customHeight="1" x14ac:dyDescent="0.25">
      <c r="C2222" s="389"/>
      <c r="D2222" s="111" t="s">
        <v>1788</v>
      </c>
      <c r="E2222" s="107">
        <v>511195060</v>
      </c>
      <c r="F2222" s="108">
        <v>509595060</v>
      </c>
      <c r="G2222" s="276">
        <f t="shared" si="136"/>
        <v>99.687007930006217</v>
      </c>
      <c r="H2222" s="117">
        <f t="shared" si="133"/>
        <v>99.687007930006217</v>
      </c>
      <c r="I2222" s="111"/>
    </row>
    <row r="2223" spans="3:9" ht="16.5" hidden="1" customHeight="1" x14ac:dyDescent="0.25">
      <c r="C2223" s="226"/>
      <c r="D2223" s="32"/>
      <c r="E2223" s="169"/>
      <c r="F2223" s="113"/>
      <c r="G2223" s="331"/>
      <c r="H2223" s="117"/>
      <c r="I2223" s="111"/>
    </row>
    <row r="2224" spans="3:9" ht="16.5" hidden="1" customHeight="1" x14ac:dyDescent="0.25">
      <c r="C2224" s="226"/>
      <c r="D2224" s="48" t="s">
        <v>1789</v>
      </c>
      <c r="E2224" s="168">
        <f>+E2225+E2227+E2231+E2233</f>
        <v>1500000000</v>
      </c>
      <c r="F2224" s="113">
        <f>F2225+F2227+F2231+F2233</f>
        <v>1235298000</v>
      </c>
      <c r="G2224" s="365">
        <f t="shared" ref="G2224:G2236" si="137">F2224/E2224*100</f>
        <v>82.353200000000001</v>
      </c>
      <c r="H2224" s="114">
        <f>(H2225+H2227+H2231+H2233)/4</f>
        <v>64.358547619047627</v>
      </c>
      <c r="I2224" s="111"/>
    </row>
    <row r="2225" spans="3:9" s="115" customFormat="1" ht="16.5" hidden="1" customHeight="1" x14ac:dyDescent="0.25">
      <c r="C2225" s="222"/>
      <c r="D2225" s="121" t="s">
        <v>464</v>
      </c>
      <c r="E2225" s="120">
        <f>E2226</f>
        <v>100000000</v>
      </c>
      <c r="F2225" s="113">
        <f>F2226</f>
        <v>0</v>
      </c>
      <c r="G2225" s="297">
        <f t="shared" si="137"/>
        <v>0</v>
      </c>
      <c r="H2225" s="114"/>
      <c r="I2225" s="121"/>
    </row>
    <row r="2226" spans="3:9" ht="16.5" hidden="1" customHeight="1" x14ac:dyDescent="0.25">
      <c r="C2226" s="226"/>
      <c r="D2226" s="111" t="s">
        <v>1790</v>
      </c>
      <c r="E2226" s="107">
        <v>100000000</v>
      </c>
      <c r="F2226" s="108">
        <v>0</v>
      </c>
      <c r="G2226" s="297">
        <f t="shared" si="137"/>
        <v>0</v>
      </c>
      <c r="H2226" s="117"/>
      <c r="I2226" s="111"/>
    </row>
    <row r="2227" spans="3:9" s="115" customFormat="1" ht="16.5" hidden="1" customHeight="1" x14ac:dyDescent="0.25">
      <c r="C2227" s="222"/>
      <c r="D2227" s="121" t="s">
        <v>468</v>
      </c>
      <c r="E2227" s="120">
        <f>E2228+E2229+E2230</f>
        <v>550000000</v>
      </c>
      <c r="F2227" s="113">
        <f>F2228+F2229+F2230</f>
        <v>388000000</v>
      </c>
      <c r="G2227" s="297">
        <f t="shared" si="137"/>
        <v>70.545454545454547</v>
      </c>
      <c r="H2227" s="114">
        <f>SUM(H2228:H2230)/3</f>
        <v>58.19444444444445</v>
      </c>
      <c r="I2227" s="121"/>
    </row>
    <row r="2228" spans="3:9" ht="16.5" hidden="1" customHeight="1" x14ac:dyDescent="0.25">
      <c r="C2228" s="226"/>
      <c r="D2228" s="111" t="s">
        <v>1791</v>
      </c>
      <c r="E2228" s="107">
        <v>150000000</v>
      </c>
      <c r="F2228" s="108">
        <v>46250000</v>
      </c>
      <c r="G2228" s="276">
        <f t="shared" si="137"/>
        <v>30.833333333333336</v>
      </c>
      <c r="H2228" s="117">
        <f>+G2228</f>
        <v>30.833333333333336</v>
      </c>
      <c r="I2228" s="111"/>
    </row>
    <row r="2229" spans="3:9" ht="16.5" hidden="1" customHeight="1" x14ac:dyDescent="0.25">
      <c r="C2229" s="226"/>
      <c r="D2229" s="111" t="s">
        <v>1792</v>
      </c>
      <c r="E2229" s="107">
        <v>300000000</v>
      </c>
      <c r="F2229" s="108">
        <v>297000000</v>
      </c>
      <c r="G2229" s="276">
        <f t="shared" si="137"/>
        <v>99</v>
      </c>
      <c r="H2229" s="117">
        <f t="shared" ref="H2229:H2230" si="138">+G2229</f>
        <v>99</v>
      </c>
      <c r="I2229" s="111"/>
    </row>
    <row r="2230" spans="3:9" ht="16.5" hidden="1" customHeight="1" x14ac:dyDescent="0.25">
      <c r="C2230" s="226"/>
      <c r="D2230" s="111" t="s">
        <v>1793</v>
      </c>
      <c r="E2230" s="107">
        <v>100000000</v>
      </c>
      <c r="F2230" s="108">
        <v>44750000</v>
      </c>
      <c r="G2230" s="276">
        <f t="shared" si="137"/>
        <v>44.75</v>
      </c>
      <c r="H2230" s="117">
        <f t="shared" si="138"/>
        <v>44.75</v>
      </c>
      <c r="I2230" s="111"/>
    </row>
    <row r="2231" spans="3:9" s="115" customFormat="1" ht="16.5" hidden="1" customHeight="1" x14ac:dyDescent="0.25">
      <c r="C2231" s="222"/>
      <c r="D2231" s="121" t="s">
        <v>496</v>
      </c>
      <c r="E2231" s="120">
        <f>E2232</f>
        <v>350000000</v>
      </c>
      <c r="F2231" s="113">
        <f>F2232</f>
        <v>348218000</v>
      </c>
      <c r="G2231" s="297">
        <f t="shared" si="137"/>
        <v>99.490857142857152</v>
      </c>
      <c r="H2231" s="114">
        <f>+G2231</f>
        <v>99.490857142857152</v>
      </c>
      <c r="I2231" s="121"/>
    </row>
    <row r="2232" spans="3:9" ht="16.5" hidden="1" customHeight="1" x14ac:dyDescent="0.25">
      <c r="C2232" s="226"/>
      <c r="D2232" s="111" t="s">
        <v>1794</v>
      </c>
      <c r="E2232" s="107">
        <v>350000000</v>
      </c>
      <c r="F2232" s="108">
        <v>348218000</v>
      </c>
      <c r="G2232" s="276">
        <f t="shared" si="137"/>
        <v>99.490857142857152</v>
      </c>
      <c r="H2232" s="117">
        <f>+G2232</f>
        <v>99.490857142857152</v>
      </c>
      <c r="I2232" s="111"/>
    </row>
    <row r="2233" spans="3:9" s="115" customFormat="1" ht="16.5" hidden="1" customHeight="1" x14ac:dyDescent="0.25">
      <c r="C2233" s="222"/>
      <c r="D2233" s="121" t="s">
        <v>517</v>
      </c>
      <c r="E2233" s="120">
        <f>E2234+E2235+E2236</f>
        <v>500000000</v>
      </c>
      <c r="F2233" s="113">
        <f>F2234+F2235+F2236</f>
        <v>499080000</v>
      </c>
      <c r="G2233" s="297">
        <f t="shared" si="137"/>
        <v>99.816000000000003</v>
      </c>
      <c r="H2233" s="114">
        <f>SUM(H2234:H2236)/3</f>
        <v>99.748888888888885</v>
      </c>
      <c r="I2233" s="121"/>
    </row>
    <row r="2234" spans="3:9" ht="16.5" hidden="1" customHeight="1" x14ac:dyDescent="0.25">
      <c r="C2234" s="226"/>
      <c r="D2234" s="111" t="s">
        <v>1795</v>
      </c>
      <c r="E2234" s="107">
        <v>100000000</v>
      </c>
      <c r="F2234" s="108">
        <v>99330000</v>
      </c>
      <c r="G2234" s="276">
        <f t="shared" si="137"/>
        <v>99.33</v>
      </c>
      <c r="H2234" s="117">
        <f>+G2234</f>
        <v>99.33</v>
      </c>
      <c r="I2234" s="111"/>
    </row>
    <row r="2235" spans="3:9" ht="16.5" hidden="1" customHeight="1" x14ac:dyDescent="0.25">
      <c r="C2235" s="226"/>
      <c r="D2235" s="111" t="s">
        <v>1796</v>
      </c>
      <c r="E2235" s="107">
        <v>300000000</v>
      </c>
      <c r="F2235" s="108">
        <v>299750000</v>
      </c>
      <c r="G2235" s="276">
        <f t="shared" si="137"/>
        <v>99.916666666666671</v>
      </c>
      <c r="H2235" s="117">
        <f t="shared" ref="H2235:H2236" si="139">+G2235</f>
        <v>99.916666666666671</v>
      </c>
      <c r="I2235" s="111"/>
    </row>
    <row r="2236" spans="3:9" ht="16.5" hidden="1" customHeight="1" x14ac:dyDescent="0.25">
      <c r="C2236" s="226"/>
      <c r="D2236" s="111" t="s">
        <v>1797</v>
      </c>
      <c r="E2236" s="107">
        <v>100000000</v>
      </c>
      <c r="F2236" s="108">
        <v>100000000</v>
      </c>
      <c r="G2236" s="276">
        <f t="shared" si="137"/>
        <v>100</v>
      </c>
      <c r="H2236" s="117">
        <f t="shared" si="139"/>
        <v>100</v>
      </c>
      <c r="I2236" s="111"/>
    </row>
    <row r="2237" spans="3:9" ht="16.5" hidden="1" customHeight="1" x14ac:dyDescent="0.25">
      <c r="C2237" s="226"/>
      <c r="D2237" s="32"/>
      <c r="E2237" s="169"/>
      <c r="F2237" s="113"/>
      <c r="G2237" s="331"/>
      <c r="H2237" s="117"/>
      <c r="I2237" s="111"/>
    </row>
    <row r="2238" spans="3:9" ht="16.5" hidden="1" customHeight="1" x14ac:dyDescent="0.25">
      <c r="C2238" s="226"/>
      <c r="D2238" s="48" t="s">
        <v>549</v>
      </c>
      <c r="E2238" s="168">
        <f>+E2239+E2241+E2243</f>
        <v>1750000000</v>
      </c>
      <c r="F2238" s="113">
        <f>F2239+F2241+F2243</f>
        <v>1748794000</v>
      </c>
      <c r="G2238" s="331">
        <f t="shared" ref="G2238:G2245" si="140">F2238/E2238*100</f>
        <v>99.931085714285715</v>
      </c>
      <c r="H2238" s="114">
        <f>(H2239+H2241+H2243)/3</f>
        <v>99.930315789473681</v>
      </c>
      <c r="I2238" s="111"/>
    </row>
    <row r="2239" spans="3:9" s="115" customFormat="1" ht="16.5" hidden="1" customHeight="1" x14ac:dyDescent="0.25">
      <c r="C2239" s="222"/>
      <c r="D2239" s="121" t="s">
        <v>780</v>
      </c>
      <c r="E2239" s="120">
        <f>E2240</f>
        <v>500000000</v>
      </c>
      <c r="F2239" s="113">
        <f>F2240</f>
        <v>500000000</v>
      </c>
      <c r="G2239" s="297">
        <f t="shared" si="140"/>
        <v>100</v>
      </c>
      <c r="H2239" s="114">
        <f t="shared" ref="H2239:H2302" si="141">+G2239</f>
        <v>100</v>
      </c>
      <c r="I2239" s="121"/>
    </row>
    <row r="2240" spans="3:9" ht="16.5" hidden="1" customHeight="1" x14ac:dyDescent="0.25">
      <c r="C2240" s="389"/>
      <c r="D2240" s="111" t="s">
        <v>1798</v>
      </c>
      <c r="E2240" s="107">
        <v>500000000</v>
      </c>
      <c r="F2240" s="108">
        <v>500000000</v>
      </c>
      <c r="G2240" s="276">
        <f t="shared" si="140"/>
        <v>100</v>
      </c>
      <c r="H2240" s="117">
        <f t="shared" si="141"/>
        <v>100</v>
      </c>
      <c r="I2240" s="111"/>
    </row>
    <row r="2241" spans="3:9" s="115" customFormat="1" ht="16.5" hidden="1" customHeight="1" x14ac:dyDescent="0.25">
      <c r="C2241" s="222"/>
      <c r="D2241" s="121" t="s">
        <v>1799</v>
      </c>
      <c r="E2241" s="120">
        <f>E2242</f>
        <v>300000000</v>
      </c>
      <c r="F2241" s="113">
        <f>F2242</f>
        <v>299640000</v>
      </c>
      <c r="G2241" s="297">
        <f t="shared" si="140"/>
        <v>99.88</v>
      </c>
      <c r="H2241" s="114">
        <f t="shared" si="141"/>
        <v>99.88</v>
      </c>
      <c r="I2241" s="121"/>
    </row>
    <row r="2242" spans="3:9" ht="16.5" hidden="1" customHeight="1" x14ac:dyDescent="0.25">
      <c r="C2242" s="226"/>
      <c r="D2242" s="111" t="s">
        <v>1800</v>
      </c>
      <c r="E2242" s="107">
        <v>300000000</v>
      </c>
      <c r="F2242" s="108">
        <v>299640000</v>
      </c>
      <c r="G2242" s="276">
        <f t="shared" si="140"/>
        <v>99.88</v>
      </c>
      <c r="H2242" s="117">
        <f t="shared" si="141"/>
        <v>99.88</v>
      </c>
      <c r="I2242" s="111"/>
    </row>
    <row r="2243" spans="3:9" s="115" customFormat="1" ht="16.5" hidden="1" customHeight="1" x14ac:dyDescent="0.25">
      <c r="C2243" s="222"/>
      <c r="D2243" s="121" t="s">
        <v>1801</v>
      </c>
      <c r="E2243" s="120">
        <f>E2244+E2245</f>
        <v>950000000</v>
      </c>
      <c r="F2243" s="113">
        <f>F2244+F2245</f>
        <v>949154000</v>
      </c>
      <c r="G2243" s="297">
        <f t="shared" si="140"/>
        <v>99.910947368421049</v>
      </c>
      <c r="H2243" s="114">
        <f t="shared" si="141"/>
        <v>99.910947368421049</v>
      </c>
      <c r="I2243" s="121"/>
    </row>
    <row r="2244" spans="3:9" ht="16.5" hidden="1" customHeight="1" x14ac:dyDescent="0.25">
      <c r="C2244" s="226"/>
      <c r="D2244" s="111" t="s">
        <v>1802</v>
      </c>
      <c r="E2244" s="107">
        <v>500000000</v>
      </c>
      <c r="F2244" s="108">
        <v>499400000</v>
      </c>
      <c r="G2244" s="276">
        <f t="shared" si="140"/>
        <v>99.88</v>
      </c>
      <c r="H2244" s="117">
        <f t="shared" si="141"/>
        <v>99.88</v>
      </c>
      <c r="I2244" s="111"/>
    </row>
    <row r="2245" spans="3:9" ht="16.5" hidden="1" customHeight="1" x14ac:dyDescent="0.25">
      <c r="C2245" s="226"/>
      <c r="D2245" s="111" t="s">
        <v>1803</v>
      </c>
      <c r="E2245" s="107">
        <v>450000000</v>
      </c>
      <c r="F2245" s="108">
        <v>449754000</v>
      </c>
      <c r="G2245" s="276">
        <f t="shared" si="140"/>
        <v>99.945333333333338</v>
      </c>
      <c r="H2245" s="117">
        <f t="shared" si="141"/>
        <v>99.945333333333338</v>
      </c>
      <c r="I2245" s="111"/>
    </row>
    <row r="2246" spans="3:9" ht="16.5" hidden="1" customHeight="1" x14ac:dyDescent="0.25">
      <c r="C2246" s="389"/>
      <c r="D2246" s="119"/>
      <c r="E2246" s="252"/>
      <c r="F2246" s="108"/>
      <c r="G2246" s="331"/>
      <c r="H2246" s="117"/>
      <c r="I2246" s="111"/>
    </row>
    <row r="2247" spans="3:9" ht="16.5" hidden="1" customHeight="1" x14ac:dyDescent="0.25">
      <c r="C2247" s="226"/>
      <c r="D2247" s="48" t="s">
        <v>624</v>
      </c>
      <c r="E2247" s="168">
        <f>+E2248</f>
        <v>350000000</v>
      </c>
      <c r="F2247" s="113">
        <f>F2248</f>
        <v>350000000</v>
      </c>
      <c r="G2247" s="331">
        <f>F2247/E2247*100</f>
        <v>100</v>
      </c>
      <c r="H2247" s="114">
        <f t="shared" si="141"/>
        <v>100</v>
      </c>
      <c r="I2247" s="111"/>
    </row>
    <row r="2248" spans="3:9" s="115" customFormat="1" ht="16.5" hidden="1" customHeight="1" x14ac:dyDescent="0.25">
      <c r="C2248" s="390"/>
      <c r="D2248" s="121" t="s">
        <v>789</v>
      </c>
      <c r="E2248" s="120">
        <f>E2249</f>
        <v>350000000</v>
      </c>
      <c r="F2248" s="113">
        <f>F2249</f>
        <v>350000000</v>
      </c>
      <c r="G2248" s="297">
        <f>F2248/E2248*100</f>
        <v>100</v>
      </c>
      <c r="H2248" s="114">
        <f t="shared" si="141"/>
        <v>100</v>
      </c>
      <c r="I2248" s="121"/>
    </row>
    <row r="2249" spans="3:9" ht="16.5" hidden="1" customHeight="1" x14ac:dyDescent="0.25">
      <c r="C2249" s="226"/>
      <c r="D2249" s="111" t="s">
        <v>1804</v>
      </c>
      <c r="E2249" s="107">
        <v>350000000</v>
      </c>
      <c r="F2249" s="108">
        <v>350000000</v>
      </c>
      <c r="G2249" s="276">
        <f>F2249/E2249*100</f>
        <v>100</v>
      </c>
      <c r="H2249" s="117">
        <f t="shared" si="141"/>
        <v>100</v>
      </c>
      <c r="I2249" s="111"/>
    </row>
    <row r="2250" spans="3:9" ht="16.5" hidden="1" customHeight="1" x14ac:dyDescent="0.25">
      <c r="C2250" s="226"/>
      <c r="D2250" s="111"/>
      <c r="E2250" s="107"/>
      <c r="F2250" s="108"/>
      <c r="G2250" s="331"/>
      <c r="H2250" s="117"/>
      <c r="I2250" s="111"/>
    </row>
    <row r="2251" spans="3:9" ht="16.5" hidden="1" customHeight="1" x14ac:dyDescent="0.25">
      <c r="C2251" s="222"/>
      <c r="D2251" s="48" t="s">
        <v>630</v>
      </c>
      <c r="E2251" s="168">
        <f>E2252</f>
        <v>1861195060</v>
      </c>
      <c r="F2251" s="113">
        <f>F2252</f>
        <v>1568995060</v>
      </c>
      <c r="G2251" s="331">
        <f>F2251/E2251*100</f>
        <v>84.300409651850245</v>
      </c>
      <c r="H2251" s="114">
        <f>SUM(H2252)/1</f>
        <v>90.259999999999991</v>
      </c>
      <c r="I2251" s="111"/>
    </row>
    <row r="2252" spans="3:9" s="115" customFormat="1" ht="16.5" hidden="1" customHeight="1" x14ac:dyDescent="0.25">
      <c r="C2252" s="222"/>
      <c r="D2252" s="121" t="s">
        <v>792</v>
      </c>
      <c r="E2252" s="120">
        <f>E2253+E2254</f>
        <v>1861195060</v>
      </c>
      <c r="F2252" s="113">
        <f>F2253+F2254</f>
        <v>1568995060</v>
      </c>
      <c r="G2252" s="297">
        <f>F2252/E2252*100</f>
        <v>84.300409651850245</v>
      </c>
      <c r="H2252" s="114">
        <f>SUM(H2253:H2254)/2</f>
        <v>90.259999999999991</v>
      </c>
      <c r="I2252" s="121"/>
    </row>
    <row r="2253" spans="3:9" ht="16.5" hidden="1" customHeight="1" x14ac:dyDescent="0.25">
      <c r="C2253" s="226"/>
      <c r="D2253" s="111" t="s">
        <v>1805</v>
      </c>
      <c r="E2253" s="107">
        <v>1500000000</v>
      </c>
      <c r="F2253" s="108">
        <v>1207800000</v>
      </c>
      <c r="G2253" s="276">
        <f>F2253/E2253*100</f>
        <v>80.52</v>
      </c>
      <c r="H2253" s="117">
        <f t="shared" si="141"/>
        <v>80.52</v>
      </c>
      <c r="I2253" s="111"/>
    </row>
    <row r="2254" spans="3:9" ht="16.5" hidden="1" customHeight="1" x14ac:dyDescent="0.25">
      <c r="C2254" s="226"/>
      <c r="D2254" s="111" t="s">
        <v>1806</v>
      </c>
      <c r="E2254" s="107">
        <v>361195060</v>
      </c>
      <c r="F2254" s="108">
        <v>361195060</v>
      </c>
      <c r="G2254" s="276">
        <f>F2254/E2254*100</f>
        <v>100</v>
      </c>
      <c r="H2254" s="117">
        <f t="shared" si="141"/>
        <v>100</v>
      </c>
      <c r="I2254" s="111"/>
    </row>
    <row r="2255" spans="3:9" ht="16.5" hidden="1" customHeight="1" x14ac:dyDescent="0.25">
      <c r="C2255" s="226"/>
      <c r="D2255" s="32"/>
      <c r="E2255" s="169"/>
      <c r="F2255" s="108"/>
      <c r="G2255" s="331"/>
      <c r="H2255" s="117"/>
      <c r="I2255" s="111"/>
    </row>
    <row r="2256" spans="3:9" ht="16.5" hidden="1" customHeight="1" x14ac:dyDescent="0.25">
      <c r="C2256" s="226"/>
      <c r="D2256" s="48" t="s">
        <v>1807</v>
      </c>
      <c r="E2256" s="168">
        <v>100000000</v>
      </c>
      <c r="F2256" s="113">
        <f>F2257</f>
        <v>100000000</v>
      </c>
      <c r="G2256" s="331">
        <f>F2256/E2256*100</f>
        <v>100</v>
      </c>
      <c r="H2256" s="114">
        <f t="shared" si="141"/>
        <v>100</v>
      </c>
      <c r="I2256" s="111"/>
    </row>
    <row r="2257" spans="3:9" s="115" customFormat="1" ht="16.5" hidden="1" customHeight="1" x14ac:dyDescent="0.25">
      <c r="C2257" s="222"/>
      <c r="D2257" s="121" t="s">
        <v>643</v>
      </c>
      <c r="E2257" s="120">
        <f>E2258</f>
        <v>100000000</v>
      </c>
      <c r="F2257" s="113">
        <f>F2258</f>
        <v>100000000</v>
      </c>
      <c r="G2257" s="297">
        <f>F2257/E2257*100</f>
        <v>100</v>
      </c>
      <c r="H2257" s="114">
        <f t="shared" si="141"/>
        <v>100</v>
      </c>
      <c r="I2257" s="121"/>
    </row>
    <row r="2258" spans="3:9" ht="16.5" hidden="1" customHeight="1" x14ac:dyDescent="0.25">
      <c r="C2258" s="226"/>
      <c r="D2258" s="111" t="s">
        <v>1808</v>
      </c>
      <c r="E2258" s="107">
        <v>100000000</v>
      </c>
      <c r="F2258" s="108">
        <v>100000000</v>
      </c>
      <c r="G2258" s="276">
        <f>F2258/E2258*100</f>
        <v>100</v>
      </c>
      <c r="H2258" s="117">
        <f t="shared" si="141"/>
        <v>100</v>
      </c>
      <c r="I2258" s="111"/>
    </row>
    <row r="2259" spans="3:9" ht="16.5" hidden="1" customHeight="1" x14ac:dyDescent="0.25">
      <c r="C2259" s="226"/>
      <c r="D2259" s="111"/>
      <c r="E2259" s="107"/>
      <c r="F2259" s="108"/>
      <c r="G2259" s="276"/>
      <c r="H2259" s="117"/>
      <c r="I2259" s="111"/>
    </row>
    <row r="2260" spans="3:9" s="115" customFormat="1" ht="16.5" hidden="1" customHeight="1" x14ac:dyDescent="0.25">
      <c r="C2260" s="222"/>
      <c r="D2260" s="48" t="s">
        <v>1809</v>
      </c>
      <c r="E2260" s="168">
        <f>+E2261+E2283</f>
        <v>35267585230</v>
      </c>
      <c r="F2260" s="113">
        <f>F2261+F2283</f>
        <v>27905000000</v>
      </c>
      <c r="G2260" s="331">
        <f t="shared" ref="G2260:G2307" si="142">F2260/E2260*100</f>
        <v>79.123648012801581</v>
      </c>
      <c r="H2260" s="114">
        <f>(H2261+H2283)/2</f>
        <v>79.89602784868822</v>
      </c>
      <c r="I2260" s="121"/>
    </row>
    <row r="2261" spans="3:9" s="115" customFormat="1" ht="16.5" hidden="1" customHeight="1" x14ac:dyDescent="0.25">
      <c r="C2261" s="222"/>
      <c r="D2261" s="121" t="s">
        <v>1810</v>
      </c>
      <c r="E2261" s="120">
        <f>+E2262+E2276</f>
        <v>8533585180</v>
      </c>
      <c r="F2261" s="113">
        <f>F2262+F2276</f>
        <v>6830000000</v>
      </c>
      <c r="G2261" s="297">
        <f t="shared" si="142"/>
        <v>80.036700354352121</v>
      </c>
      <c r="H2261" s="114">
        <f>(H2262+H2276)/2</f>
        <v>70.958722579560344</v>
      </c>
      <c r="I2261" s="121"/>
    </row>
    <row r="2262" spans="3:9" s="115" customFormat="1" ht="16.5" hidden="1" customHeight="1" x14ac:dyDescent="0.25">
      <c r="C2262" s="222"/>
      <c r="D2262" s="121" t="s">
        <v>1628</v>
      </c>
      <c r="E2262" s="120">
        <f>SUM(E2263:E2275)</f>
        <v>2900000000</v>
      </c>
      <c r="F2262" s="113">
        <f>SUM(F2263:F2275)</f>
        <v>1700000000</v>
      </c>
      <c r="G2262" s="297">
        <f t="shared" si="142"/>
        <v>58.620689655172406</v>
      </c>
      <c r="H2262" s="114">
        <f t="shared" si="141"/>
        <v>58.620689655172406</v>
      </c>
      <c r="I2262" s="121"/>
    </row>
    <row r="2263" spans="3:9" ht="16.5" hidden="1" customHeight="1" x14ac:dyDescent="0.25">
      <c r="C2263" s="226"/>
      <c r="D2263" s="111" t="s">
        <v>1811</v>
      </c>
      <c r="E2263" s="107">
        <v>700000000</v>
      </c>
      <c r="F2263" s="108">
        <v>700000000</v>
      </c>
      <c r="G2263" s="276">
        <f t="shared" si="142"/>
        <v>100</v>
      </c>
      <c r="H2263" s="117">
        <f t="shared" si="141"/>
        <v>100</v>
      </c>
      <c r="I2263" s="111"/>
    </row>
    <row r="2264" spans="3:9" ht="16.5" hidden="1" customHeight="1" x14ac:dyDescent="0.25">
      <c r="C2264" s="226"/>
      <c r="D2264" s="111" t="s">
        <v>1812</v>
      </c>
      <c r="E2264" s="107">
        <v>300000000</v>
      </c>
      <c r="F2264" s="108">
        <v>300000000</v>
      </c>
      <c r="G2264" s="276">
        <f t="shared" si="142"/>
        <v>100</v>
      </c>
      <c r="H2264" s="117">
        <f t="shared" si="141"/>
        <v>100</v>
      </c>
      <c r="I2264" s="111"/>
    </row>
    <row r="2265" spans="3:9" ht="16.5" hidden="1" customHeight="1" x14ac:dyDescent="0.25">
      <c r="C2265" s="226"/>
      <c r="D2265" s="111" t="s">
        <v>1813</v>
      </c>
      <c r="E2265" s="107">
        <v>100000000</v>
      </c>
      <c r="F2265" s="108">
        <v>0</v>
      </c>
      <c r="G2265" s="276">
        <f t="shared" si="142"/>
        <v>0</v>
      </c>
      <c r="H2265" s="117">
        <f t="shared" si="141"/>
        <v>0</v>
      </c>
      <c r="I2265" s="111"/>
    </row>
    <row r="2266" spans="3:9" ht="16.5" hidden="1" customHeight="1" x14ac:dyDescent="0.25">
      <c r="C2266" s="226"/>
      <c r="D2266" s="111" t="s">
        <v>1814</v>
      </c>
      <c r="E2266" s="107">
        <v>100000000</v>
      </c>
      <c r="F2266" s="108">
        <v>0</v>
      </c>
      <c r="G2266" s="276">
        <f t="shared" si="142"/>
        <v>0</v>
      </c>
      <c r="H2266" s="117">
        <f t="shared" si="141"/>
        <v>0</v>
      </c>
      <c r="I2266" s="111"/>
    </row>
    <row r="2267" spans="3:9" ht="16.5" hidden="1" customHeight="1" x14ac:dyDescent="0.25">
      <c r="C2267" s="226"/>
      <c r="D2267" s="111" t="s">
        <v>1815</v>
      </c>
      <c r="E2267" s="107">
        <v>100000000</v>
      </c>
      <c r="F2267" s="108">
        <v>0</v>
      </c>
      <c r="G2267" s="276">
        <f t="shared" si="142"/>
        <v>0</v>
      </c>
      <c r="H2267" s="117">
        <f t="shared" si="141"/>
        <v>0</v>
      </c>
      <c r="I2267" s="111"/>
    </row>
    <row r="2268" spans="3:9" ht="16.5" hidden="1" customHeight="1" x14ac:dyDescent="0.25">
      <c r="C2268" s="226"/>
      <c r="D2268" s="111" t="s">
        <v>1816</v>
      </c>
      <c r="E2268" s="107">
        <v>250000000</v>
      </c>
      <c r="F2268" s="108">
        <v>250000000</v>
      </c>
      <c r="G2268" s="276">
        <f t="shared" si="142"/>
        <v>100</v>
      </c>
      <c r="H2268" s="117">
        <f t="shared" si="141"/>
        <v>100</v>
      </c>
      <c r="I2268" s="111"/>
    </row>
    <row r="2269" spans="3:9" ht="16.5" hidden="1" customHeight="1" x14ac:dyDescent="0.25">
      <c r="C2269" s="226"/>
      <c r="D2269" s="111" t="s">
        <v>1817</v>
      </c>
      <c r="E2269" s="107">
        <v>250000000</v>
      </c>
      <c r="F2269" s="108">
        <v>250000000</v>
      </c>
      <c r="G2269" s="276">
        <f t="shared" si="142"/>
        <v>100</v>
      </c>
      <c r="H2269" s="117">
        <f t="shared" si="141"/>
        <v>100</v>
      </c>
      <c r="I2269" s="111"/>
    </row>
    <row r="2270" spans="3:9" ht="16.5" hidden="1" customHeight="1" x14ac:dyDescent="0.25">
      <c r="C2270" s="226"/>
      <c r="D2270" s="111" t="s">
        <v>1818</v>
      </c>
      <c r="E2270" s="107">
        <v>100000000</v>
      </c>
      <c r="F2270" s="108">
        <v>0</v>
      </c>
      <c r="G2270" s="276">
        <f t="shared" si="142"/>
        <v>0</v>
      </c>
      <c r="H2270" s="117">
        <f t="shared" si="141"/>
        <v>0</v>
      </c>
      <c r="I2270" s="111"/>
    </row>
    <row r="2271" spans="3:9" ht="16.5" hidden="1" customHeight="1" x14ac:dyDescent="0.25">
      <c r="C2271" s="226"/>
      <c r="D2271" s="111" t="s">
        <v>1819</v>
      </c>
      <c r="E2271" s="107">
        <v>200000000</v>
      </c>
      <c r="F2271" s="108">
        <v>200000000</v>
      </c>
      <c r="G2271" s="276">
        <f t="shared" si="142"/>
        <v>100</v>
      </c>
      <c r="H2271" s="117">
        <f t="shared" si="141"/>
        <v>100</v>
      </c>
      <c r="I2271" s="111"/>
    </row>
    <row r="2272" spans="3:9" ht="16.5" hidden="1" customHeight="1" x14ac:dyDescent="0.25">
      <c r="C2272" s="226"/>
      <c r="D2272" s="111" t="s">
        <v>1820</v>
      </c>
      <c r="E2272" s="107">
        <v>200000000</v>
      </c>
      <c r="F2272" s="108">
        <v>0</v>
      </c>
      <c r="G2272" s="276">
        <f t="shared" si="142"/>
        <v>0</v>
      </c>
      <c r="H2272" s="117">
        <f t="shared" si="141"/>
        <v>0</v>
      </c>
      <c r="I2272" s="111"/>
    </row>
    <row r="2273" spans="3:9" ht="16.5" hidden="1" customHeight="1" x14ac:dyDescent="0.25">
      <c r="C2273" s="226"/>
      <c r="D2273" s="111" t="s">
        <v>1821</v>
      </c>
      <c r="E2273" s="107">
        <v>100000000</v>
      </c>
      <c r="F2273" s="108">
        <v>0</v>
      </c>
      <c r="G2273" s="276">
        <f t="shared" si="142"/>
        <v>0</v>
      </c>
      <c r="H2273" s="117">
        <f t="shared" si="141"/>
        <v>0</v>
      </c>
      <c r="I2273" s="111"/>
    </row>
    <row r="2274" spans="3:9" ht="16.5" hidden="1" customHeight="1" x14ac:dyDescent="0.25">
      <c r="C2274" s="226"/>
      <c r="D2274" s="111" t="s">
        <v>1822</v>
      </c>
      <c r="E2274" s="107">
        <v>100000000</v>
      </c>
      <c r="F2274" s="108">
        <v>0</v>
      </c>
      <c r="G2274" s="276">
        <f t="shared" si="142"/>
        <v>0</v>
      </c>
      <c r="H2274" s="117">
        <f t="shared" si="141"/>
        <v>0</v>
      </c>
      <c r="I2274" s="111"/>
    </row>
    <row r="2275" spans="3:9" ht="16.5" hidden="1" customHeight="1" x14ac:dyDescent="0.25">
      <c r="C2275" s="226"/>
      <c r="D2275" s="111" t="s">
        <v>1823</v>
      </c>
      <c r="E2275" s="107">
        <v>400000000</v>
      </c>
      <c r="F2275" s="108">
        <v>0</v>
      </c>
      <c r="G2275" s="297">
        <f t="shared" si="142"/>
        <v>0</v>
      </c>
      <c r="H2275" s="117">
        <f t="shared" si="141"/>
        <v>0</v>
      </c>
      <c r="I2275" s="111"/>
    </row>
    <row r="2276" spans="3:9" s="115" customFormat="1" ht="16.5" hidden="1" customHeight="1" x14ac:dyDescent="0.25">
      <c r="C2276" s="222"/>
      <c r="D2276" s="121" t="s">
        <v>1824</v>
      </c>
      <c r="E2276" s="120">
        <f>SUM(E2277:E2282)</f>
        <v>5633585180</v>
      </c>
      <c r="F2276" s="113">
        <f>SUM(F2277:F2282)</f>
        <v>5130000000</v>
      </c>
      <c r="G2276" s="297">
        <f t="shared" si="142"/>
        <v>91.061017737198739</v>
      </c>
      <c r="H2276" s="114">
        <f>SUM(H2277:H2282)/6</f>
        <v>83.296755503948276</v>
      </c>
      <c r="I2276" s="121"/>
    </row>
    <row r="2277" spans="3:9" ht="16.5" hidden="1" customHeight="1" x14ac:dyDescent="0.25">
      <c r="C2277" s="226"/>
      <c r="D2277" s="111" t="s">
        <v>1825</v>
      </c>
      <c r="E2277" s="107">
        <v>1633585180</v>
      </c>
      <c r="F2277" s="108">
        <v>1630000000</v>
      </c>
      <c r="G2277" s="276">
        <f t="shared" si="142"/>
        <v>99.780533023689657</v>
      </c>
      <c r="H2277" s="117">
        <f t="shared" si="141"/>
        <v>99.780533023689657</v>
      </c>
      <c r="I2277" s="111"/>
    </row>
    <row r="2278" spans="3:9" ht="16.5" hidden="1" customHeight="1" x14ac:dyDescent="0.25">
      <c r="C2278" s="226"/>
      <c r="D2278" s="111" t="s">
        <v>1826</v>
      </c>
      <c r="E2278" s="107">
        <v>500000000</v>
      </c>
      <c r="F2278" s="108">
        <v>500000000</v>
      </c>
      <c r="G2278" s="276">
        <f t="shared" si="142"/>
        <v>100</v>
      </c>
      <c r="H2278" s="117">
        <f t="shared" si="141"/>
        <v>100</v>
      </c>
      <c r="I2278" s="111"/>
    </row>
    <row r="2279" spans="3:9" ht="16.5" hidden="1" customHeight="1" x14ac:dyDescent="0.25">
      <c r="C2279" s="226"/>
      <c r="D2279" s="111" t="s">
        <v>1827</v>
      </c>
      <c r="E2279" s="107">
        <v>1500000000</v>
      </c>
      <c r="F2279" s="108">
        <v>1500000000</v>
      </c>
      <c r="G2279" s="276">
        <f t="shared" si="142"/>
        <v>100</v>
      </c>
      <c r="H2279" s="117">
        <f t="shared" si="141"/>
        <v>100</v>
      </c>
      <c r="I2279" s="111"/>
    </row>
    <row r="2280" spans="3:9" ht="16.5" hidden="1" customHeight="1" x14ac:dyDescent="0.25">
      <c r="C2280" s="226"/>
      <c r="D2280" s="111" t="s">
        <v>1828</v>
      </c>
      <c r="E2280" s="107">
        <v>1000000000</v>
      </c>
      <c r="F2280" s="108">
        <v>1000000000</v>
      </c>
      <c r="G2280" s="276">
        <f t="shared" si="142"/>
        <v>100</v>
      </c>
      <c r="H2280" s="117">
        <f t="shared" si="141"/>
        <v>100</v>
      </c>
      <c r="I2280" s="111"/>
    </row>
    <row r="2281" spans="3:9" ht="16.5" hidden="1" customHeight="1" x14ac:dyDescent="0.25">
      <c r="C2281" s="226"/>
      <c r="D2281" s="111" t="s">
        <v>1829</v>
      </c>
      <c r="E2281" s="107">
        <v>500000000</v>
      </c>
      <c r="F2281" s="108">
        <v>0</v>
      </c>
      <c r="G2281" s="276">
        <f t="shared" si="142"/>
        <v>0</v>
      </c>
      <c r="H2281" s="117">
        <f t="shared" si="141"/>
        <v>0</v>
      </c>
      <c r="I2281" s="111"/>
    </row>
    <row r="2282" spans="3:9" ht="16.5" hidden="1" customHeight="1" x14ac:dyDescent="0.25">
      <c r="C2282" s="226"/>
      <c r="D2282" s="111" t="s">
        <v>1830</v>
      </c>
      <c r="E2282" s="107">
        <v>500000000</v>
      </c>
      <c r="F2282" s="108">
        <v>500000000</v>
      </c>
      <c r="G2282" s="276">
        <f t="shared" si="142"/>
        <v>100</v>
      </c>
      <c r="H2282" s="117">
        <f t="shared" si="141"/>
        <v>100</v>
      </c>
      <c r="I2282" s="111"/>
    </row>
    <row r="2283" spans="3:9" ht="16.5" hidden="1" customHeight="1" x14ac:dyDescent="0.25">
      <c r="C2283" s="389"/>
      <c r="D2283" s="121" t="s">
        <v>1831</v>
      </c>
      <c r="E2283" s="120">
        <f>+E2284+E2295</f>
        <v>26734000050</v>
      </c>
      <c r="F2283" s="113">
        <f>F2284+F2295</f>
        <v>21075000000</v>
      </c>
      <c r="G2283" s="297">
        <f t="shared" si="142"/>
        <v>78.83219855084873</v>
      </c>
      <c r="H2283" s="114">
        <f>(H2284+H2295)/2</f>
        <v>88.833333117816096</v>
      </c>
      <c r="I2283" s="111"/>
    </row>
    <row r="2284" spans="3:9" s="115" customFormat="1" ht="16.5" hidden="1" customHeight="1" x14ac:dyDescent="0.25">
      <c r="C2284" s="222"/>
      <c r="D2284" s="121" t="s">
        <v>1832</v>
      </c>
      <c r="E2284" s="120">
        <f>SUM(E2285:E2294)</f>
        <v>11600000050</v>
      </c>
      <c r="F2284" s="113">
        <f>SUM(F2285:F2294)</f>
        <v>11600000000</v>
      </c>
      <c r="G2284" s="297">
        <f t="shared" si="142"/>
        <v>99.999999568965521</v>
      </c>
      <c r="H2284" s="114">
        <f t="shared" si="141"/>
        <v>99.999999568965521</v>
      </c>
      <c r="I2284" s="121"/>
    </row>
    <row r="2285" spans="3:9" ht="16.5" hidden="1" customHeight="1" x14ac:dyDescent="0.25">
      <c r="C2285" s="226"/>
      <c r="D2285" s="111" t="s">
        <v>1833</v>
      </c>
      <c r="E2285" s="107">
        <v>1000000050</v>
      </c>
      <c r="F2285" s="108">
        <v>1000000000</v>
      </c>
      <c r="G2285" s="276">
        <f t="shared" si="142"/>
        <v>99.999995000000254</v>
      </c>
      <c r="H2285" s="117">
        <f t="shared" si="141"/>
        <v>99.999995000000254</v>
      </c>
      <c r="I2285" s="111"/>
    </row>
    <row r="2286" spans="3:9" ht="16.5" hidden="1" customHeight="1" x14ac:dyDescent="0.25">
      <c r="C2286" s="226"/>
      <c r="D2286" s="111" t="s">
        <v>1834</v>
      </c>
      <c r="E2286" s="107">
        <v>1000000000</v>
      </c>
      <c r="F2286" s="108">
        <v>1000000000</v>
      </c>
      <c r="G2286" s="276">
        <f t="shared" si="142"/>
        <v>100</v>
      </c>
      <c r="H2286" s="117">
        <f t="shared" si="141"/>
        <v>100</v>
      </c>
      <c r="I2286" s="111"/>
    </row>
    <row r="2287" spans="3:9" ht="16.5" hidden="1" customHeight="1" x14ac:dyDescent="0.25">
      <c r="C2287" s="226"/>
      <c r="D2287" s="111" t="s">
        <v>1835</v>
      </c>
      <c r="E2287" s="107">
        <v>1000000000</v>
      </c>
      <c r="F2287" s="108">
        <v>1000000000</v>
      </c>
      <c r="G2287" s="276">
        <f t="shared" si="142"/>
        <v>100</v>
      </c>
      <c r="H2287" s="117">
        <f t="shared" si="141"/>
        <v>100</v>
      </c>
      <c r="I2287" s="111"/>
    </row>
    <row r="2288" spans="3:9" ht="16.5" hidden="1" customHeight="1" x14ac:dyDescent="0.25">
      <c r="C2288" s="226"/>
      <c r="D2288" s="111" t="s">
        <v>1836</v>
      </c>
      <c r="E2288" s="107">
        <v>1000000000</v>
      </c>
      <c r="F2288" s="108">
        <v>1000000000</v>
      </c>
      <c r="G2288" s="276">
        <f t="shared" si="142"/>
        <v>100</v>
      </c>
      <c r="H2288" s="117">
        <f t="shared" si="141"/>
        <v>100</v>
      </c>
      <c r="I2288" s="111"/>
    </row>
    <row r="2289" spans="3:9" ht="16.5" hidden="1" customHeight="1" x14ac:dyDescent="0.25">
      <c r="C2289" s="226"/>
      <c r="D2289" s="111" t="s">
        <v>1837</v>
      </c>
      <c r="E2289" s="107">
        <v>1000000000</v>
      </c>
      <c r="F2289" s="108">
        <v>1000000000</v>
      </c>
      <c r="G2289" s="276">
        <f t="shared" si="142"/>
        <v>100</v>
      </c>
      <c r="H2289" s="117">
        <f t="shared" si="141"/>
        <v>100</v>
      </c>
      <c r="I2289" s="111"/>
    </row>
    <row r="2290" spans="3:9" ht="16.5" hidden="1" customHeight="1" x14ac:dyDescent="0.25">
      <c r="C2290" s="226"/>
      <c r="D2290" s="111" t="s">
        <v>1838</v>
      </c>
      <c r="E2290" s="107">
        <v>1500000000</v>
      </c>
      <c r="F2290" s="108">
        <v>1500000000</v>
      </c>
      <c r="G2290" s="276">
        <f t="shared" si="142"/>
        <v>100</v>
      </c>
      <c r="H2290" s="117">
        <f t="shared" si="141"/>
        <v>100</v>
      </c>
      <c r="I2290" s="111"/>
    </row>
    <row r="2291" spans="3:9" ht="16.5" hidden="1" customHeight="1" x14ac:dyDescent="0.25">
      <c r="C2291" s="226"/>
      <c r="D2291" s="111" t="s">
        <v>1839</v>
      </c>
      <c r="E2291" s="107">
        <v>1500000000</v>
      </c>
      <c r="F2291" s="108">
        <v>1500000000</v>
      </c>
      <c r="G2291" s="276">
        <f t="shared" si="142"/>
        <v>100</v>
      </c>
      <c r="H2291" s="117">
        <f t="shared" si="141"/>
        <v>100</v>
      </c>
      <c r="I2291" s="111"/>
    </row>
    <row r="2292" spans="3:9" ht="16.5" hidden="1" customHeight="1" x14ac:dyDescent="0.25">
      <c r="C2292" s="226"/>
      <c r="D2292" s="111" t="s">
        <v>1840</v>
      </c>
      <c r="E2292" s="107">
        <v>1000000000</v>
      </c>
      <c r="F2292" s="108">
        <v>1000000000</v>
      </c>
      <c r="G2292" s="276">
        <f t="shared" si="142"/>
        <v>100</v>
      </c>
      <c r="H2292" s="117">
        <f t="shared" si="141"/>
        <v>100</v>
      </c>
      <c r="I2292" s="111"/>
    </row>
    <row r="2293" spans="3:9" ht="16.5" hidden="1" customHeight="1" x14ac:dyDescent="0.25">
      <c r="C2293" s="226"/>
      <c r="D2293" s="111" t="s">
        <v>1841</v>
      </c>
      <c r="E2293" s="107">
        <v>1000000000</v>
      </c>
      <c r="F2293" s="108">
        <v>1000000000</v>
      </c>
      <c r="G2293" s="276">
        <f t="shared" si="142"/>
        <v>100</v>
      </c>
      <c r="H2293" s="117">
        <f t="shared" si="141"/>
        <v>100</v>
      </c>
      <c r="I2293" s="111"/>
    </row>
    <row r="2294" spans="3:9" ht="16.5" hidden="1" customHeight="1" x14ac:dyDescent="0.25">
      <c r="C2294" s="226"/>
      <c r="D2294" s="111" t="s">
        <v>1842</v>
      </c>
      <c r="E2294" s="107">
        <v>1600000000</v>
      </c>
      <c r="F2294" s="108">
        <v>1600000000</v>
      </c>
      <c r="G2294" s="276">
        <f t="shared" si="142"/>
        <v>100</v>
      </c>
      <c r="H2294" s="117">
        <f t="shared" si="141"/>
        <v>100</v>
      </c>
      <c r="I2294" s="111"/>
    </row>
    <row r="2295" spans="3:9" s="115" customFormat="1" ht="16.5" hidden="1" customHeight="1" x14ac:dyDescent="0.25">
      <c r="C2295" s="222"/>
      <c r="D2295" s="121" t="s">
        <v>1843</v>
      </c>
      <c r="E2295" s="120">
        <f>SUM(E2296:E2310)</f>
        <v>15134000000</v>
      </c>
      <c r="F2295" s="113">
        <f>SUM(F2296:F2310)</f>
        <v>9475000000</v>
      </c>
      <c r="G2295" s="297">
        <f t="shared" si="142"/>
        <v>62.607374124487912</v>
      </c>
      <c r="H2295" s="114">
        <f>SUM(H2296:H2301)/6</f>
        <v>77.666666666666671</v>
      </c>
      <c r="I2295" s="121"/>
    </row>
    <row r="2296" spans="3:9" ht="16.5" hidden="1" customHeight="1" x14ac:dyDescent="0.25">
      <c r="C2296" s="226"/>
      <c r="D2296" s="111" t="s">
        <v>1844</v>
      </c>
      <c r="E2296" s="107">
        <v>7000000000</v>
      </c>
      <c r="F2296" s="108">
        <v>7000000000</v>
      </c>
      <c r="G2296" s="276">
        <f t="shared" si="142"/>
        <v>100</v>
      </c>
      <c r="H2296" s="117">
        <f t="shared" si="141"/>
        <v>100</v>
      </c>
      <c r="I2296" s="111"/>
    </row>
    <row r="2297" spans="3:9" ht="16.5" hidden="1" customHeight="1" x14ac:dyDescent="0.25">
      <c r="C2297" s="226"/>
      <c r="D2297" s="111" t="s">
        <v>1845</v>
      </c>
      <c r="E2297" s="107">
        <v>500000000</v>
      </c>
      <c r="F2297" s="108">
        <v>105000000</v>
      </c>
      <c r="G2297" s="276">
        <f t="shared" si="142"/>
        <v>21</v>
      </c>
      <c r="H2297" s="117">
        <f t="shared" si="141"/>
        <v>21</v>
      </c>
      <c r="I2297" s="111"/>
    </row>
    <row r="2298" spans="3:9" ht="16.5" hidden="1" customHeight="1" x14ac:dyDescent="0.25">
      <c r="C2298" s="226"/>
      <c r="D2298" s="111" t="s">
        <v>1846</v>
      </c>
      <c r="E2298" s="107">
        <v>500000000</v>
      </c>
      <c r="F2298" s="108">
        <v>500000000</v>
      </c>
      <c r="G2298" s="276">
        <f t="shared" si="142"/>
        <v>100</v>
      </c>
      <c r="H2298" s="117">
        <f t="shared" si="141"/>
        <v>100</v>
      </c>
      <c r="I2298" s="111"/>
    </row>
    <row r="2299" spans="3:9" ht="16.5" hidden="1" customHeight="1" x14ac:dyDescent="0.25">
      <c r="C2299" s="226"/>
      <c r="D2299" s="111" t="s">
        <v>1847</v>
      </c>
      <c r="E2299" s="107">
        <v>600000000</v>
      </c>
      <c r="F2299" s="108">
        <v>450000000</v>
      </c>
      <c r="G2299" s="276">
        <f t="shared" si="142"/>
        <v>75</v>
      </c>
      <c r="H2299" s="117">
        <f t="shared" si="141"/>
        <v>75</v>
      </c>
      <c r="I2299" s="111"/>
    </row>
    <row r="2300" spans="3:9" ht="16.5" hidden="1" customHeight="1" x14ac:dyDescent="0.25">
      <c r="C2300" s="226"/>
      <c r="D2300" s="111" t="s">
        <v>1848</v>
      </c>
      <c r="E2300" s="107">
        <v>600000000</v>
      </c>
      <c r="F2300" s="108">
        <v>420000000</v>
      </c>
      <c r="G2300" s="276">
        <f t="shared" si="142"/>
        <v>70</v>
      </c>
      <c r="H2300" s="117">
        <f t="shared" si="141"/>
        <v>70</v>
      </c>
      <c r="I2300" s="111"/>
    </row>
    <row r="2301" spans="3:9" ht="16.5" hidden="1" customHeight="1" x14ac:dyDescent="0.25">
      <c r="C2301" s="226"/>
      <c r="D2301" s="111" t="s">
        <v>1849</v>
      </c>
      <c r="E2301" s="107">
        <v>1000000000</v>
      </c>
      <c r="F2301" s="108">
        <v>1000000000</v>
      </c>
      <c r="G2301" s="276">
        <f t="shared" si="142"/>
        <v>100</v>
      </c>
      <c r="H2301" s="117">
        <f t="shared" si="141"/>
        <v>100</v>
      </c>
      <c r="I2301" s="111"/>
    </row>
    <row r="2302" spans="3:9" ht="16.5" hidden="1" customHeight="1" x14ac:dyDescent="0.25">
      <c r="C2302" s="226"/>
      <c r="D2302" s="111" t="s">
        <v>1850</v>
      </c>
      <c r="E2302" s="107">
        <v>393600000</v>
      </c>
      <c r="F2302" s="108">
        <v>0</v>
      </c>
      <c r="G2302" s="297">
        <f t="shared" si="142"/>
        <v>0</v>
      </c>
      <c r="H2302" s="117">
        <f t="shared" si="141"/>
        <v>0</v>
      </c>
      <c r="I2302" s="111"/>
    </row>
    <row r="2303" spans="3:9" ht="16.5" hidden="1" customHeight="1" x14ac:dyDescent="0.25">
      <c r="C2303" s="226"/>
      <c r="D2303" s="111" t="s">
        <v>1851</v>
      </c>
      <c r="E2303" s="107">
        <v>235900000</v>
      </c>
      <c r="F2303" s="108">
        <v>0</v>
      </c>
      <c r="G2303" s="297">
        <f t="shared" si="142"/>
        <v>0</v>
      </c>
      <c r="H2303" s="117">
        <f t="shared" ref="H2303:H2310" si="143">+G2303</f>
        <v>0</v>
      </c>
      <c r="I2303" s="111"/>
    </row>
    <row r="2304" spans="3:9" ht="16.5" hidden="1" customHeight="1" x14ac:dyDescent="0.25">
      <c r="C2304" s="226"/>
      <c r="D2304" s="111" t="s">
        <v>1852</v>
      </c>
      <c r="E2304" s="107">
        <v>147600000</v>
      </c>
      <c r="F2304" s="108">
        <v>0</v>
      </c>
      <c r="G2304" s="297">
        <f t="shared" si="142"/>
        <v>0</v>
      </c>
      <c r="H2304" s="117">
        <f t="shared" si="143"/>
        <v>0</v>
      </c>
      <c r="I2304" s="111"/>
    </row>
    <row r="2305" spans="3:9" ht="16.5" hidden="1" customHeight="1" x14ac:dyDescent="0.25">
      <c r="C2305" s="226"/>
      <c r="D2305" s="111" t="s">
        <v>1853</v>
      </c>
      <c r="E2305" s="107">
        <v>1600000000</v>
      </c>
      <c r="F2305" s="108">
        <v>0</v>
      </c>
      <c r="G2305" s="297">
        <f t="shared" si="142"/>
        <v>0</v>
      </c>
      <c r="H2305" s="117">
        <f t="shared" si="143"/>
        <v>0</v>
      </c>
      <c r="I2305" s="111"/>
    </row>
    <row r="2306" spans="3:9" ht="29.25" hidden="1" customHeight="1" x14ac:dyDescent="0.25">
      <c r="C2306" s="226"/>
      <c r="D2306" s="118" t="s">
        <v>1854</v>
      </c>
      <c r="E2306" s="107">
        <v>200000000</v>
      </c>
      <c r="F2306" s="108">
        <v>0</v>
      </c>
      <c r="G2306" s="297">
        <f t="shared" si="142"/>
        <v>0</v>
      </c>
      <c r="H2306" s="117">
        <f t="shared" si="143"/>
        <v>0</v>
      </c>
      <c r="I2306" s="111"/>
    </row>
    <row r="2307" spans="3:9" ht="16.5" hidden="1" customHeight="1" x14ac:dyDescent="0.25">
      <c r="C2307" s="226"/>
      <c r="D2307" s="111" t="s">
        <v>1855</v>
      </c>
      <c r="E2307" s="107">
        <v>200000000</v>
      </c>
      <c r="F2307" s="108">
        <v>0</v>
      </c>
      <c r="G2307" s="297">
        <f t="shared" si="142"/>
        <v>0</v>
      </c>
      <c r="H2307" s="117">
        <f t="shared" si="143"/>
        <v>0</v>
      </c>
      <c r="I2307" s="111"/>
    </row>
    <row r="2308" spans="3:9" ht="16.5" hidden="1" customHeight="1" x14ac:dyDescent="0.25">
      <c r="C2308" s="389"/>
      <c r="D2308" s="111" t="s">
        <v>1856</v>
      </c>
      <c r="E2308" s="107">
        <v>1500000000</v>
      </c>
      <c r="F2308" s="108">
        <v>0</v>
      </c>
      <c r="G2308" s="297">
        <v>0</v>
      </c>
      <c r="H2308" s="117">
        <f t="shared" si="143"/>
        <v>0</v>
      </c>
      <c r="I2308" s="111"/>
    </row>
    <row r="2309" spans="3:9" ht="16.5" hidden="1" customHeight="1" x14ac:dyDescent="0.25">
      <c r="C2309" s="226"/>
      <c r="D2309" s="111" t="s">
        <v>1857</v>
      </c>
      <c r="E2309" s="107">
        <v>400000000</v>
      </c>
      <c r="F2309" s="108">
        <v>0</v>
      </c>
      <c r="G2309" s="297">
        <f>F2309/E2309*100</f>
        <v>0</v>
      </c>
      <c r="H2309" s="117">
        <f t="shared" si="143"/>
        <v>0</v>
      </c>
      <c r="I2309" s="111"/>
    </row>
    <row r="2310" spans="3:9" ht="16.5" hidden="1" customHeight="1" x14ac:dyDescent="0.25">
      <c r="C2310" s="226"/>
      <c r="D2310" s="111" t="s">
        <v>1858</v>
      </c>
      <c r="E2310" s="107">
        <v>256900000</v>
      </c>
      <c r="F2310" s="108">
        <v>0</v>
      </c>
      <c r="G2310" s="297">
        <f>F2310/E2310*100</f>
        <v>0</v>
      </c>
      <c r="H2310" s="117">
        <f t="shared" si="143"/>
        <v>0</v>
      </c>
      <c r="I2310" s="111"/>
    </row>
    <row r="2311" spans="3:9" ht="16.5" hidden="1" customHeight="1" x14ac:dyDescent="0.25">
      <c r="C2311" s="109"/>
      <c r="D2311" s="111"/>
      <c r="E2311" s="107"/>
      <c r="F2311" s="108"/>
      <c r="G2311" s="117"/>
      <c r="H2311" s="117"/>
      <c r="I2311" s="111"/>
    </row>
    <row r="2312" spans="3:9" s="115" customFormat="1" ht="16.5" customHeight="1" x14ac:dyDescent="0.25">
      <c r="C2312" s="222" t="s">
        <v>1859</v>
      </c>
      <c r="D2312" s="258" t="s">
        <v>1860</v>
      </c>
      <c r="E2312" s="125">
        <f>E2313+E2353+E2382+E2388+E2392+E2396+E2404+E2419+E2429+E2434+E2438+E2443+E2447+E2452+E2460+E2464</f>
        <v>128559753000</v>
      </c>
      <c r="F2312" s="113">
        <f>+F2313+F2353+F2382+F2388+F2392+F2396+F2404+F2419+F2429+F2434+F2438+F2443+F2447+F2452+F2460+F2464</f>
        <v>107108332994</v>
      </c>
      <c r="G2312" s="114">
        <f t="shared" ref="G2312:G2351" si="144">+F2312/E2312*100</f>
        <v>83.314046966160547</v>
      </c>
      <c r="H2312" s="114">
        <f>(H2313+H2353+H2382+H2388+H2392+H2396+H2404+H2419+H2429+H2434+H2438+H2443+H2447+H2452+H2460+H2464)/15</f>
        <v>95.809086723621192</v>
      </c>
      <c r="I2312" s="121"/>
    </row>
    <row r="2313" spans="3:9" ht="16.5" hidden="1" customHeight="1" x14ac:dyDescent="0.2">
      <c r="C2313" s="226"/>
      <c r="D2313" s="249" t="s">
        <v>1861</v>
      </c>
      <c r="E2313" s="304">
        <f>E2314+E2322+E2338+E2341+E2345+E2348+E2350+E2335</f>
        <v>27973825900</v>
      </c>
      <c r="F2313" s="242">
        <f>F2314+F2322+F2338+F2341+F2345+F2348+F2350+F2335</f>
        <v>23640393000</v>
      </c>
      <c r="G2313" s="114">
        <f t="shared" si="144"/>
        <v>84.508973082584319</v>
      </c>
      <c r="H2313" s="114">
        <f>(H2314+H2322+H2335+H2338+H2341+H2345+H2348+H2350)/8</f>
        <v>82.695949775953466</v>
      </c>
      <c r="I2313" s="111"/>
    </row>
    <row r="2314" spans="3:9" ht="16.5" hidden="1" customHeight="1" x14ac:dyDescent="0.25">
      <c r="C2314" s="226"/>
      <c r="D2314" s="425" t="s">
        <v>1862</v>
      </c>
      <c r="E2314" s="426">
        <f>SUM(E2315:E2321)</f>
        <v>6489717900</v>
      </c>
      <c r="F2314" s="332">
        <f>SUM(F2315:F2321)</f>
        <v>6087821200</v>
      </c>
      <c r="G2314" s="114">
        <f t="shared" si="144"/>
        <v>93.807177658677588</v>
      </c>
      <c r="H2314" s="114">
        <f>SUM(H2315:H2321)/7</f>
        <v>96.154325214459462</v>
      </c>
      <c r="I2314" s="111"/>
    </row>
    <row r="2315" spans="3:9" ht="16.5" hidden="1" customHeight="1" x14ac:dyDescent="0.2">
      <c r="C2315" s="226"/>
      <c r="D2315" s="427" t="s">
        <v>1863</v>
      </c>
      <c r="E2315" s="305">
        <v>750000000</v>
      </c>
      <c r="F2315" s="243">
        <v>750000000</v>
      </c>
      <c r="G2315" s="114">
        <f t="shared" si="144"/>
        <v>100</v>
      </c>
      <c r="H2315" s="117">
        <f>+G2315</f>
        <v>100</v>
      </c>
      <c r="I2315" s="111"/>
    </row>
    <row r="2316" spans="3:9" ht="16.5" hidden="1" customHeight="1" x14ac:dyDescent="0.2">
      <c r="C2316" s="226"/>
      <c r="D2316" s="259" t="s">
        <v>1864</v>
      </c>
      <c r="E2316" s="305">
        <v>1500000000</v>
      </c>
      <c r="F2316" s="243">
        <v>1291766000</v>
      </c>
      <c r="G2316" s="114">
        <f t="shared" si="144"/>
        <v>86.117733333333334</v>
      </c>
      <c r="H2316" s="117">
        <f t="shared" ref="H2316:H2321" si="145">+G2316</f>
        <v>86.117733333333334</v>
      </c>
      <c r="I2316" s="111"/>
    </row>
    <row r="2317" spans="3:9" ht="16.5" hidden="1" customHeight="1" x14ac:dyDescent="0.2">
      <c r="C2317" s="226"/>
      <c r="D2317" s="259" t="s">
        <v>1865</v>
      </c>
      <c r="E2317" s="305">
        <v>300000000</v>
      </c>
      <c r="F2317" s="243">
        <v>295050000</v>
      </c>
      <c r="G2317" s="114">
        <f t="shared" si="144"/>
        <v>98.350000000000009</v>
      </c>
      <c r="H2317" s="117">
        <f t="shared" si="145"/>
        <v>98.350000000000009</v>
      </c>
      <c r="I2317" s="111"/>
    </row>
    <row r="2318" spans="3:9" ht="16.5" hidden="1" customHeight="1" x14ac:dyDescent="0.2">
      <c r="C2318" s="226"/>
      <c r="D2318" s="259" t="s">
        <v>1866</v>
      </c>
      <c r="E2318" s="305">
        <v>1813764200</v>
      </c>
      <c r="F2318" s="243">
        <v>1813764200</v>
      </c>
      <c r="G2318" s="114">
        <f t="shared" si="144"/>
        <v>100</v>
      </c>
      <c r="H2318" s="117">
        <f t="shared" si="145"/>
        <v>100</v>
      </c>
      <c r="I2318" s="111"/>
    </row>
    <row r="2319" spans="3:9" ht="16.5" hidden="1" customHeight="1" x14ac:dyDescent="0.2">
      <c r="C2319" s="226"/>
      <c r="D2319" s="259" t="s">
        <v>1867</v>
      </c>
      <c r="E2319" s="305">
        <v>215578300</v>
      </c>
      <c r="F2319" s="243">
        <v>213000000</v>
      </c>
      <c r="G2319" s="114">
        <f t="shared" si="144"/>
        <v>98.804007638987784</v>
      </c>
      <c r="H2319" s="117">
        <f t="shared" si="145"/>
        <v>98.804007638987784</v>
      </c>
      <c r="I2319" s="111"/>
    </row>
    <row r="2320" spans="3:9" ht="27.75" hidden="1" customHeight="1" x14ac:dyDescent="0.2">
      <c r="C2320" s="226"/>
      <c r="D2320" s="259" t="s">
        <v>1868</v>
      </c>
      <c r="E2320" s="305">
        <v>1826375400</v>
      </c>
      <c r="F2320" s="243">
        <v>1640241000</v>
      </c>
      <c r="G2320" s="114">
        <f t="shared" si="144"/>
        <v>89.808535528895092</v>
      </c>
      <c r="H2320" s="117">
        <f t="shared" si="145"/>
        <v>89.808535528895092</v>
      </c>
      <c r="I2320" s="111"/>
    </row>
    <row r="2321" spans="3:9" ht="16.5" hidden="1" customHeight="1" x14ac:dyDescent="0.2">
      <c r="C2321" s="226"/>
      <c r="D2321" s="259" t="s">
        <v>1869</v>
      </c>
      <c r="E2321" s="305">
        <v>84000000</v>
      </c>
      <c r="F2321" s="243">
        <v>84000000</v>
      </c>
      <c r="G2321" s="114">
        <f t="shared" si="144"/>
        <v>100</v>
      </c>
      <c r="H2321" s="117">
        <f t="shared" si="145"/>
        <v>100</v>
      </c>
      <c r="I2321" s="111"/>
    </row>
    <row r="2322" spans="3:9" ht="16.5" hidden="1" customHeight="1" x14ac:dyDescent="0.25">
      <c r="C2322" s="226"/>
      <c r="D2322" s="425" t="s">
        <v>1870</v>
      </c>
      <c r="E2322" s="426">
        <f>E2323+E2324+E2325+E2326+E2327+E2328+E2329+E2330+E2331+E2332+E2333+E2334</f>
        <v>11892918800</v>
      </c>
      <c r="F2322" s="428">
        <f>SUM(F2323:F2334)</f>
        <v>10502884600</v>
      </c>
      <c r="G2322" s="114">
        <f t="shared" si="144"/>
        <v>88.312085339386996</v>
      </c>
      <c r="H2322" s="114">
        <f>SUM(H2323:H2334)/12</f>
        <v>78.567227213107827</v>
      </c>
      <c r="I2322" s="111"/>
    </row>
    <row r="2323" spans="3:9" ht="16.5" hidden="1" customHeight="1" x14ac:dyDescent="0.2">
      <c r="C2323" s="226"/>
      <c r="D2323" s="259" t="s">
        <v>1871</v>
      </c>
      <c r="E2323" s="429">
        <v>1894554600</v>
      </c>
      <c r="F2323" s="430">
        <v>1790405600</v>
      </c>
      <c r="G2323" s="114">
        <f t="shared" si="144"/>
        <v>94.502718475360908</v>
      </c>
      <c r="H2323" s="117">
        <f>+G2323</f>
        <v>94.502718475360908</v>
      </c>
      <c r="I2323" s="111"/>
    </row>
    <row r="2324" spans="3:9" ht="16.5" hidden="1" customHeight="1" x14ac:dyDescent="0.2">
      <c r="C2324" s="226"/>
      <c r="D2324" s="259" t="s">
        <v>1872</v>
      </c>
      <c r="E2324" s="305">
        <v>300000000</v>
      </c>
      <c r="F2324" s="243">
        <v>300000000</v>
      </c>
      <c r="G2324" s="114">
        <f t="shared" si="144"/>
        <v>100</v>
      </c>
      <c r="H2324" s="117">
        <f t="shared" ref="H2324:H2334" si="146">+G2324</f>
        <v>100</v>
      </c>
      <c r="I2324" s="111"/>
    </row>
    <row r="2325" spans="3:9" ht="16.5" hidden="1" customHeight="1" x14ac:dyDescent="0.2">
      <c r="C2325" s="226"/>
      <c r="D2325" s="259" t="s">
        <v>1873</v>
      </c>
      <c r="E2325" s="305">
        <v>1813764200</v>
      </c>
      <c r="F2325" s="243">
        <v>1319879000</v>
      </c>
      <c r="G2325" s="114">
        <f t="shared" si="144"/>
        <v>72.770153915266391</v>
      </c>
      <c r="H2325" s="117">
        <f t="shared" si="146"/>
        <v>72.770153915266391</v>
      </c>
      <c r="I2325" s="111"/>
    </row>
    <row r="2326" spans="3:9" ht="16.5" hidden="1" customHeight="1" x14ac:dyDescent="0.2">
      <c r="C2326" s="226"/>
      <c r="D2326" s="259" t="s">
        <v>1874</v>
      </c>
      <c r="E2326" s="305">
        <v>2944200000</v>
      </c>
      <c r="F2326" s="243">
        <v>2944200000</v>
      </c>
      <c r="G2326" s="114">
        <f t="shared" si="144"/>
        <v>100</v>
      </c>
      <c r="H2326" s="117">
        <f t="shared" si="146"/>
        <v>100</v>
      </c>
      <c r="I2326" s="111"/>
    </row>
    <row r="2327" spans="3:9" ht="16.5" hidden="1" customHeight="1" x14ac:dyDescent="0.2">
      <c r="C2327" s="226"/>
      <c r="D2327" s="259" t="s">
        <v>1875</v>
      </c>
      <c r="E2327" s="305">
        <v>749400000</v>
      </c>
      <c r="F2327" s="243">
        <v>749400000</v>
      </c>
      <c r="G2327" s="114">
        <f t="shared" si="144"/>
        <v>100</v>
      </c>
      <c r="H2327" s="117">
        <f t="shared" si="146"/>
        <v>100</v>
      </c>
      <c r="I2327" s="111"/>
    </row>
    <row r="2328" spans="3:9" ht="16.5" hidden="1" customHeight="1" x14ac:dyDescent="0.2">
      <c r="C2328" s="226"/>
      <c r="D2328" s="259" t="s">
        <v>1876</v>
      </c>
      <c r="E2328" s="305">
        <v>730000000</v>
      </c>
      <c r="F2328" s="243">
        <v>730000000</v>
      </c>
      <c r="G2328" s="114">
        <f t="shared" si="144"/>
        <v>100</v>
      </c>
      <c r="H2328" s="117">
        <f t="shared" si="146"/>
        <v>100</v>
      </c>
      <c r="I2328" s="111"/>
    </row>
    <row r="2329" spans="3:9" ht="18.75" hidden="1" customHeight="1" x14ac:dyDescent="0.2">
      <c r="C2329" s="226"/>
      <c r="D2329" s="259" t="s">
        <v>1877</v>
      </c>
      <c r="E2329" s="429">
        <v>375000000</v>
      </c>
      <c r="F2329" s="430">
        <v>0</v>
      </c>
      <c r="G2329" s="114">
        <f t="shared" si="144"/>
        <v>0</v>
      </c>
      <c r="H2329" s="117">
        <f t="shared" si="146"/>
        <v>0</v>
      </c>
      <c r="I2329" s="111"/>
    </row>
    <row r="2330" spans="3:9" ht="18.75" hidden="1" customHeight="1" x14ac:dyDescent="0.2">
      <c r="C2330" s="226"/>
      <c r="D2330" s="259" t="s">
        <v>1878</v>
      </c>
      <c r="E2330" s="429">
        <v>150000000</v>
      </c>
      <c r="F2330" s="430">
        <v>0</v>
      </c>
      <c r="G2330" s="114">
        <f t="shared" si="144"/>
        <v>0</v>
      </c>
      <c r="H2330" s="117">
        <f t="shared" si="146"/>
        <v>0</v>
      </c>
      <c r="I2330" s="111"/>
    </row>
    <row r="2331" spans="3:9" ht="16.5" hidden="1" customHeight="1" x14ac:dyDescent="0.2">
      <c r="C2331" s="226"/>
      <c r="D2331" s="259" t="s">
        <v>1879</v>
      </c>
      <c r="E2331" s="305">
        <v>340000000</v>
      </c>
      <c r="F2331" s="243">
        <v>340000000</v>
      </c>
      <c r="G2331" s="114">
        <f t="shared" si="144"/>
        <v>100</v>
      </c>
      <c r="H2331" s="117">
        <f t="shared" si="146"/>
        <v>100</v>
      </c>
      <c r="I2331" s="111"/>
    </row>
    <row r="2332" spans="3:9" ht="16.5" hidden="1" customHeight="1" x14ac:dyDescent="0.2">
      <c r="C2332" s="226"/>
      <c r="D2332" s="259" t="s">
        <v>1880</v>
      </c>
      <c r="E2332" s="305">
        <v>340000000</v>
      </c>
      <c r="F2332" s="243">
        <v>340000000</v>
      </c>
      <c r="G2332" s="114">
        <f t="shared" si="144"/>
        <v>100</v>
      </c>
      <c r="H2332" s="117">
        <f t="shared" si="146"/>
        <v>100</v>
      </c>
      <c r="I2332" s="111"/>
    </row>
    <row r="2333" spans="3:9" ht="16.5" hidden="1" customHeight="1" x14ac:dyDescent="0.2">
      <c r="C2333" s="226"/>
      <c r="D2333" s="259" t="s">
        <v>1881</v>
      </c>
      <c r="E2333" s="305">
        <v>1536000000</v>
      </c>
      <c r="F2333" s="243">
        <v>1365000000</v>
      </c>
      <c r="G2333" s="114">
        <f t="shared" si="144"/>
        <v>88.8671875</v>
      </c>
      <c r="H2333" s="117">
        <f t="shared" si="146"/>
        <v>88.8671875</v>
      </c>
      <c r="I2333" s="111"/>
    </row>
    <row r="2334" spans="3:9" s="115" customFormat="1" ht="16.5" hidden="1" customHeight="1" x14ac:dyDescent="0.2">
      <c r="C2334" s="222"/>
      <c r="D2334" s="259" t="s">
        <v>1882</v>
      </c>
      <c r="E2334" s="305">
        <v>720000000</v>
      </c>
      <c r="F2334" s="243">
        <v>624000000</v>
      </c>
      <c r="G2334" s="114">
        <f t="shared" si="144"/>
        <v>86.666666666666671</v>
      </c>
      <c r="H2334" s="117">
        <f t="shared" si="146"/>
        <v>86.666666666666671</v>
      </c>
      <c r="I2334" s="121"/>
    </row>
    <row r="2335" spans="3:9" ht="16.5" hidden="1" customHeight="1" x14ac:dyDescent="0.25">
      <c r="C2335" s="226"/>
      <c r="D2335" s="425" t="s">
        <v>693</v>
      </c>
      <c r="E2335" s="426">
        <f>SUM(E2336:E2337)</f>
        <v>984000000</v>
      </c>
      <c r="F2335" s="243">
        <f>SUM(F2336:F2337)</f>
        <v>972000000</v>
      </c>
      <c r="G2335" s="114">
        <f t="shared" si="144"/>
        <v>98.780487804878049</v>
      </c>
      <c r="H2335" s="114">
        <f>SUM(H2336:H2337)/2</f>
        <v>98.780487804878049</v>
      </c>
      <c r="I2335" s="111"/>
    </row>
    <row r="2336" spans="3:9" ht="16.5" hidden="1" customHeight="1" x14ac:dyDescent="0.2">
      <c r="C2336" s="226"/>
      <c r="D2336" s="259" t="s">
        <v>1883</v>
      </c>
      <c r="E2336" s="305">
        <v>492000000</v>
      </c>
      <c r="F2336" s="243">
        <v>492000000</v>
      </c>
      <c r="G2336" s="114">
        <f t="shared" si="144"/>
        <v>100</v>
      </c>
      <c r="H2336" s="117">
        <f t="shared" ref="H2336:H2351" si="147">+G2336</f>
        <v>100</v>
      </c>
      <c r="I2336" s="111"/>
    </row>
    <row r="2337" spans="3:9" ht="16.5" hidden="1" customHeight="1" x14ac:dyDescent="0.2">
      <c r="C2337" s="226"/>
      <c r="D2337" s="259" t="s">
        <v>1884</v>
      </c>
      <c r="E2337" s="305">
        <v>492000000</v>
      </c>
      <c r="F2337" s="243">
        <v>480000000</v>
      </c>
      <c r="G2337" s="114">
        <f t="shared" si="144"/>
        <v>97.560975609756099</v>
      </c>
      <c r="H2337" s="117">
        <f t="shared" si="147"/>
        <v>97.560975609756099</v>
      </c>
      <c r="I2337" s="111"/>
    </row>
    <row r="2338" spans="3:9" ht="16.5" hidden="1" customHeight="1" x14ac:dyDescent="0.25">
      <c r="C2338" s="226"/>
      <c r="D2338" s="425" t="s">
        <v>1885</v>
      </c>
      <c r="E2338" s="426">
        <f>E2339+E2340</f>
        <v>690000000</v>
      </c>
      <c r="F2338" s="243">
        <f>SUM(F2339:F2340)</f>
        <v>390000000</v>
      </c>
      <c r="G2338" s="114">
        <f t="shared" si="144"/>
        <v>56.521739130434781</v>
      </c>
      <c r="H2338" s="114">
        <f>SUM(H2339:H2340)/2</f>
        <v>50</v>
      </c>
      <c r="I2338" s="111"/>
    </row>
    <row r="2339" spans="3:9" ht="16.5" hidden="1" customHeight="1" x14ac:dyDescent="0.2">
      <c r="C2339" s="226"/>
      <c r="D2339" s="259" t="s">
        <v>1886</v>
      </c>
      <c r="E2339" s="305">
        <v>300000000</v>
      </c>
      <c r="F2339" s="243"/>
      <c r="G2339" s="114">
        <f t="shared" si="144"/>
        <v>0</v>
      </c>
      <c r="H2339" s="114">
        <f t="shared" si="147"/>
        <v>0</v>
      </c>
      <c r="I2339" s="111"/>
    </row>
    <row r="2340" spans="3:9" ht="16.5" hidden="1" customHeight="1" x14ac:dyDescent="0.2">
      <c r="C2340" s="226"/>
      <c r="D2340" s="259" t="s">
        <v>1887</v>
      </c>
      <c r="E2340" s="305">
        <v>390000000</v>
      </c>
      <c r="F2340" s="243">
        <v>390000000</v>
      </c>
      <c r="G2340" s="117">
        <f t="shared" si="144"/>
        <v>100</v>
      </c>
      <c r="H2340" s="117">
        <f t="shared" si="147"/>
        <v>100</v>
      </c>
      <c r="I2340" s="111"/>
    </row>
    <row r="2341" spans="3:9" ht="16.5" hidden="1" customHeight="1" x14ac:dyDescent="0.25">
      <c r="C2341" s="226"/>
      <c r="D2341" s="425" t="s">
        <v>1888</v>
      </c>
      <c r="E2341" s="426">
        <f>E2342+E2343+E2344</f>
        <v>1556667150</v>
      </c>
      <c r="F2341" s="242">
        <f>SUM(F2342:F2344)</f>
        <v>1556667150</v>
      </c>
      <c r="G2341" s="114">
        <f t="shared" si="144"/>
        <v>100</v>
      </c>
      <c r="H2341" s="114">
        <f>SUM(H2342:H2344)/3</f>
        <v>100</v>
      </c>
      <c r="I2341" s="111"/>
    </row>
    <row r="2342" spans="3:9" ht="16.5" hidden="1" customHeight="1" x14ac:dyDescent="0.2">
      <c r="C2342" s="226"/>
      <c r="D2342" s="259" t="s">
        <v>1889</v>
      </c>
      <c r="E2342" s="429">
        <v>530979950</v>
      </c>
      <c r="F2342" s="430">
        <v>530979950</v>
      </c>
      <c r="G2342" s="117">
        <f t="shared" si="144"/>
        <v>100</v>
      </c>
      <c r="H2342" s="117">
        <f t="shared" si="147"/>
        <v>100</v>
      </c>
      <c r="I2342" s="111"/>
    </row>
    <row r="2343" spans="3:9" ht="16.5" hidden="1" customHeight="1" x14ac:dyDescent="0.2">
      <c r="C2343" s="226"/>
      <c r="D2343" s="259" t="s">
        <v>1890</v>
      </c>
      <c r="E2343" s="305">
        <v>542983600</v>
      </c>
      <c r="F2343" s="243">
        <v>542983600</v>
      </c>
      <c r="G2343" s="117">
        <f t="shared" si="144"/>
        <v>100</v>
      </c>
      <c r="H2343" s="117">
        <f t="shared" si="147"/>
        <v>100</v>
      </c>
      <c r="I2343" s="111"/>
    </row>
    <row r="2344" spans="3:9" ht="16.5" hidden="1" customHeight="1" x14ac:dyDescent="0.2">
      <c r="C2344" s="226"/>
      <c r="D2344" s="259" t="s">
        <v>1891</v>
      </c>
      <c r="E2344" s="305">
        <v>482703600</v>
      </c>
      <c r="F2344" s="243">
        <v>482703600</v>
      </c>
      <c r="G2344" s="117">
        <f t="shared" si="144"/>
        <v>100</v>
      </c>
      <c r="H2344" s="117">
        <f t="shared" si="147"/>
        <v>100</v>
      </c>
      <c r="I2344" s="111"/>
    </row>
    <row r="2345" spans="3:9" ht="16.5" hidden="1" customHeight="1" x14ac:dyDescent="0.25">
      <c r="C2345" s="226"/>
      <c r="D2345" s="425" t="s">
        <v>1892</v>
      </c>
      <c r="E2345" s="426">
        <f>E2346+E2347</f>
        <v>4028600000</v>
      </c>
      <c r="F2345" s="428">
        <f>SUM(F2346:F2347)</f>
        <v>2363436000</v>
      </c>
      <c r="G2345" s="114">
        <f t="shared" si="144"/>
        <v>58.666434989822768</v>
      </c>
      <c r="H2345" s="114">
        <f>SUM(H2346:H2347)/2</f>
        <v>78.609236302909636</v>
      </c>
      <c r="I2345" s="111"/>
    </row>
    <row r="2346" spans="3:9" ht="16.5" hidden="1" customHeight="1" x14ac:dyDescent="0.2">
      <c r="C2346" s="226"/>
      <c r="D2346" s="259" t="s">
        <v>1893</v>
      </c>
      <c r="E2346" s="305">
        <v>136350000</v>
      </c>
      <c r="F2346" s="243">
        <v>136350000</v>
      </c>
      <c r="G2346" s="117">
        <f t="shared" si="144"/>
        <v>100</v>
      </c>
      <c r="H2346" s="117">
        <f t="shared" si="147"/>
        <v>100</v>
      </c>
      <c r="I2346" s="111"/>
    </row>
    <row r="2347" spans="3:9" ht="16.5" hidden="1" customHeight="1" x14ac:dyDescent="0.2">
      <c r="C2347" s="226"/>
      <c r="D2347" s="259" t="s">
        <v>1894</v>
      </c>
      <c r="E2347" s="305">
        <v>3892250000</v>
      </c>
      <c r="F2347" s="243">
        <v>2227086000</v>
      </c>
      <c r="G2347" s="117">
        <f t="shared" si="144"/>
        <v>57.218472605819258</v>
      </c>
      <c r="H2347" s="117">
        <f t="shared" si="147"/>
        <v>57.218472605819258</v>
      </c>
      <c r="I2347" s="111"/>
    </row>
    <row r="2348" spans="3:9" ht="16.5" hidden="1" customHeight="1" x14ac:dyDescent="0.25">
      <c r="C2348" s="226"/>
      <c r="D2348" s="425" t="s">
        <v>1895</v>
      </c>
      <c r="E2348" s="426">
        <f>E2349</f>
        <v>939996050</v>
      </c>
      <c r="F2348" s="243">
        <f>F2349</f>
        <v>939996050</v>
      </c>
      <c r="G2348" s="114">
        <f t="shared" si="144"/>
        <v>100</v>
      </c>
      <c r="H2348" s="114">
        <f t="shared" si="147"/>
        <v>100</v>
      </c>
      <c r="I2348" s="111"/>
    </row>
    <row r="2349" spans="3:9" ht="16.5" hidden="1" customHeight="1" x14ac:dyDescent="0.2">
      <c r="C2349" s="226"/>
      <c r="D2349" s="259" t="s">
        <v>1896</v>
      </c>
      <c r="E2349" s="305">
        <v>939996050</v>
      </c>
      <c r="F2349" s="243">
        <v>939996050</v>
      </c>
      <c r="G2349" s="117">
        <f t="shared" si="144"/>
        <v>100</v>
      </c>
      <c r="H2349" s="117">
        <f t="shared" si="147"/>
        <v>100</v>
      </c>
      <c r="I2349" s="111"/>
    </row>
    <row r="2350" spans="3:9" ht="16.5" hidden="1" customHeight="1" x14ac:dyDescent="0.25">
      <c r="C2350" s="226"/>
      <c r="D2350" s="425" t="s">
        <v>1897</v>
      </c>
      <c r="E2350" s="426">
        <f>E2351</f>
        <v>1391926000</v>
      </c>
      <c r="F2350" s="242">
        <f>SUM(F2351)</f>
        <v>827588000</v>
      </c>
      <c r="G2350" s="114">
        <f t="shared" si="144"/>
        <v>59.456321672272807</v>
      </c>
      <c r="H2350" s="114">
        <f t="shared" si="147"/>
        <v>59.456321672272807</v>
      </c>
      <c r="I2350" s="111"/>
    </row>
    <row r="2351" spans="3:9" ht="16.5" hidden="1" customHeight="1" x14ac:dyDescent="0.2">
      <c r="C2351" s="226"/>
      <c r="D2351" s="259" t="s">
        <v>1898</v>
      </c>
      <c r="E2351" s="305">
        <v>1391926000</v>
      </c>
      <c r="F2351" s="243">
        <v>827588000</v>
      </c>
      <c r="G2351" s="117">
        <f t="shared" si="144"/>
        <v>59.456321672272807</v>
      </c>
      <c r="H2351" s="117">
        <f t="shared" si="147"/>
        <v>59.456321672272807</v>
      </c>
      <c r="I2351" s="111"/>
    </row>
    <row r="2352" spans="3:9" ht="16.5" hidden="1" customHeight="1" x14ac:dyDescent="0.25">
      <c r="C2352" s="226"/>
      <c r="D2352" s="259"/>
      <c r="E2352" s="260"/>
      <c r="F2352" s="243"/>
      <c r="G2352" s="114"/>
      <c r="H2352" s="114"/>
      <c r="I2352" s="111"/>
    </row>
    <row r="2353" spans="3:9" ht="16.5" hidden="1" customHeight="1" x14ac:dyDescent="0.25">
      <c r="C2353" s="226"/>
      <c r="D2353" s="249" t="s">
        <v>1020</v>
      </c>
      <c r="E2353" s="120">
        <f>E2354+E2359+E2368+E2371+E2375</f>
        <v>19568584950</v>
      </c>
      <c r="F2353" s="242">
        <f>F2354+F2359+F2368+F2371+F2375</f>
        <v>19114550139</v>
      </c>
      <c r="G2353" s="114">
        <f t="shared" ref="G2353:G2380" si="148">+F2353/E2353*100</f>
        <v>97.679776988677972</v>
      </c>
      <c r="H2353" s="114">
        <f>(H2354+H2359+H2368+H2371+H2375)/5</f>
        <v>98.957594515001162</v>
      </c>
      <c r="I2353" s="111"/>
    </row>
    <row r="2354" spans="3:9" ht="16.5" hidden="1" customHeight="1" x14ac:dyDescent="0.25">
      <c r="C2354" s="226"/>
      <c r="D2354" s="261" t="s">
        <v>1899</v>
      </c>
      <c r="E2354" s="262">
        <f>E2355+E2356+E2357+E2358</f>
        <v>9053917921</v>
      </c>
      <c r="F2354" s="242">
        <f>SUM(F2355:F2358)</f>
        <v>8602173110</v>
      </c>
      <c r="G2354" s="114">
        <f t="shared" si="148"/>
        <v>95.010504679391829</v>
      </c>
      <c r="H2354" s="114">
        <f t="shared" ref="H2354:H2417" si="149">+G2354</f>
        <v>95.010504679391829</v>
      </c>
      <c r="I2354" s="111"/>
    </row>
    <row r="2355" spans="3:9" ht="16.5" hidden="1" customHeight="1" x14ac:dyDescent="0.25">
      <c r="C2355" s="226"/>
      <c r="D2355" s="263" t="s">
        <v>1900</v>
      </c>
      <c r="E2355" s="264">
        <v>1082981217</v>
      </c>
      <c r="F2355" s="243">
        <v>1073013000</v>
      </c>
      <c r="G2355" s="117">
        <f t="shared" si="148"/>
        <v>99.079557720528783</v>
      </c>
      <c r="H2355" s="117">
        <f t="shared" si="149"/>
        <v>99.079557720528783</v>
      </c>
      <c r="I2355" s="111"/>
    </row>
    <row r="2356" spans="3:9" ht="16.5" hidden="1" customHeight="1" x14ac:dyDescent="0.25">
      <c r="C2356" s="226"/>
      <c r="D2356" s="263" t="s">
        <v>1901</v>
      </c>
      <c r="E2356" s="264">
        <v>6743176704</v>
      </c>
      <c r="F2356" s="243">
        <v>6301500110</v>
      </c>
      <c r="G2356" s="117">
        <f t="shared" si="148"/>
        <v>93.450021949773301</v>
      </c>
      <c r="H2356" s="117">
        <f t="shared" si="149"/>
        <v>93.450021949773301</v>
      </c>
      <c r="I2356" s="111"/>
    </row>
    <row r="2357" spans="3:9" ht="16.5" hidden="1" customHeight="1" x14ac:dyDescent="0.25">
      <c r="C2357" s="226"/>
      <c r="D2357" s="263" t="s">
        <v>1902</v>
      </c>
      <c r="E2357" s="264">
        <v>759760000</v>
      </c>
      <c r="F2357" s="243">
        <v>759760000</v>
      </c>
      <c r="G2357" s="117">
        <f t="shared" si="148"/>
        <v>100</v>
      </c>
      <c r="H2357" s="117">
        <f t="shared" si="149"/>
        <v>100</v>
      </c>
      <c r="I2357" s="111"/>
    </row>
    <row r="2358" spans="3:9" ht="16.5" hidden="1" customHeight="1" x14ac:dyDescent="0.25">
      <c r="C2358" s="226"/>
      <c r="D2358" s="263" t="s">
        <v>1903</v>
      </c>
      <c r="E2358" s="264">
        <v>468000000</v>
      </c>
      <c r="F2358" s="243">
        <v>467900000</v>
      </c>
      <c r="G2358" s="117">
        <f t="shared" si="148"/>
        <v>99.978632478632477</v>
      </c>
      <c r="H2358" s="117">
        <f t="shared" si="149"/>
        <v>99.978632478632477</v>
      </c>
      <c r="I2358" s="111"/>
    </row>
    <row r="2359" spans="3:9" ht="16.5" hidden="1" customHeight="1" x14ac:dyDescent="0.25">
      <c r="C2359" s="226"/>
      <c r="D2359" s="261" t="s">
        <v>1904</v>
      </c>
      <c r="E2359" s="262">
        <f>E2360+E2361+E2362+E2363+E2364+E2365+E2366+E2367</f>
        <v>4323080789</v>
      </c>
      <c r="F2359" s="242">
        <f>SUM(F2360:F2367)</f>
        <v>4323080789</v>
      </c>
      <c r="G2359" s="114">
        <f t="shared" si="148"/>
        <v>100</v>
      </c>
      <c r="H2359" s="114">
        <f t="shared" si="149"/>
        <v>100</v>
      </c>
      <c r="I2359" s="111"/>
    </row>
    <row r="2360" spans="3:9" ht="16.5" hidden="1" customHeight="1" x14ac:dyDescent="0.25">
      <c r="C2360" s="226"/>
      <c r="D2360" s="263" t="s">
        <v>1905</v>
      </c>
      <c r="E2360" s="264">
        <v>48200000</v>
      </c>
      <c r="F2360" s="243">
        <v>48200000</v>
      </c>
      <c r="G2360" s="117">
        <f t="shared" si="148"/>
        <v>100</v>
      </c>
      <c r="H2360" s="117">
        <f t="shared" si="149"/>
        <v>100</v>
      </c>
      <c r="I2360" s="111"/>
    </row>
    <row r="2361" spans="3:9" ht="16.5" hidden="1" customHeight="1" x14ac:dyDescent="0.25">
      <c r="C2361" s="226"/>
      <c r="D2361" s="259" t="s">
        <v>1906</v>
      </c>
      <c r="E2361" s="264">
        <v>157841560</v>
      </c>
      <c r="F2361" s="243">
        <v>157841560</v>
      </c>
      <c r="G2361" s="117">
        <f t="shared" si="148"/>
        <v>100</v>
      </c>
      <c r="H2361" s="117">
        <f t="shared" si="149"/>
        <v>100</v>
      </c>
      <c r="I2361" s="111"/>
    </row>
    <row r="2362" spans="3:9" ht="16.5" hidden="1" customHeight="1" x14ac:dyDescent="0.25">
      <c r="C2362" s="226"/>
      <c r="D2362" s="263" t="s">
        <v>1907</v>
      </c>
      <c r="E2362" s="264">
        <v>927683437</v>
      </c>
      <c r="F2362" s="243">
        <v>927683437</v>
      </c>
      <c r="G2362" s="117">
        <f t="shared" si="148"/>
        <v>100</v>
      </c>
      <c r="H2362" s="117">
        <f t="shared" si="149"/>
        <v>100</v>
      </c>
      <c r="I2362" s="111"/>
    </row>
    <row r="2363" spans="3:9" ht="16.5" hidden="1" customHeight="1" x14ac:dyDescent="0.25">
      <c r="C2363" s="226"/>
      <c r="D2363" s="263" t="s">
        <v>1908</v>
      </c>
      <c r="E2363" s="264">
        <v>886245720</v>
      </c>
      <c r="F2363" s="243">
        <v>886245720</v>
      </c>
      <c r="G2363" s="117">
        <f t="shared" si="148"/>
        <v>100</v>
      </c>
      <c r="H2363" s="117">
        <f t="shared" si="149"/>
        <v>100</v>
      </c>
      <c r="I2363" s="111"/>
    </row>
    <row r="2364" spans="3:9" ht="16.5" hidden="1" customHeight="1" x14ac:dyDescent="0.25">
      <c r="C2364" s="226"/>
      <c r="D2364" s="263" t="s">
        <v>1909</v>
      </c>
      <c r="E2364" s="264">
        <v>882607600</v>
      </c>
      <c r="F2364" s="243">
        <v>882607600</v>
      </c>
      <c r="G2364" s="117">
        <f t="shared" si="148"/>
        <v>100</v>
      </c>
      <c r="H2364" s="117">
        <f t="shared" si="149"/>
        <v>100</v>
      </c>
      <c r="I2364" s="111"/>
    </row>
    <row r="2365" spans="3:9" ht="16.5" hidden="1" customHeight="1" x14ac:dyDescent="0.25">
      <c r="C2365" s="226"/>
      <c r="D2365" s="263" t="s">
        <v>1910</v>
      </c>
      <c r="E2365" s="264">
        <v>650000000</v>
      </c>
      <c r="F2365" s="243">
        <v>650000000</v>
      </c>
      <c r="G2365" s="117">
        <f t="shared" si="148"/>
        <v>100</v>
      </c>
      <c r="H2365" s="117">
        <f t="shared" si="149"/>
        <v>100</v>
      </c>
      <c r="I2365" s="111"/>
    </row>
    <row r="2366" spans="3:9" ht="16.5" hidden="1" customHeight="1" x14ac:dyDescent="0.25">
      <c r="C2366" s="226"/>
      <c r="D2366" s="263" t="s">
        <v>1911</v>
      </c>
      <c r="E2366" s="264">
        <v>599236600</v>
      </c>
      <c r="F2366" s="243">
        <v>599236600</v>
      </c>
      <c r="G2366" s="117">
        <f t="shared" si="148"/>
        <v>100</v>
      </c>
      <c r="H2366" s="117">
        <f t="shared" si="149"/>
        <v>100</v>
      </c>
      <c r="I2366" s="111"/>
    </row>
    <row r="2367" spans="3:9" ht="16.5" hidden="1" customHeight="1" x14ac:dyDescent="0.25">
      <c r="C2367" s="226"/>
      <c r="D2367" s="263" t="s">
        <v>1912</v>
      </c>
      <c r="E2367" s="264">
        <v>171265872</v>
      </c>
      <c r="F2367" s="243">
        <v>171265872</v>
      </c>
      <c r="G2367" s="117">
        <f t="shared" si="148"/>
        <v>100</v>
      </c>
      <c r="H2367" s="117">
        <f t="shared" si="149"/>
        <v>100</v>
      </c>
      <c r="I2367" s="111"/>
    </row>
    <row r="2368" spans="3:9" ht="16.5" hidden="1" customHeight="1" x14ac:dyDescent="0.25">
      <c r="C2368" s="226"/>
      <c r="D2368" s="261" t="s">
        <v>1913</v>
      </c>
      <c r="E2368" s="262">
        <f>E2369+E2370</f>
        <v>1029065000</v>
      </c>
      <c r="F2368" s="242">
        <f>SUM(F2369:F2370)</f>
        <v>1026775000</v>
      </c>
      <c r="G2368" s="114">
        <f t="shared" si="148"/>
        <v>99.777467895613981</v>
      </c>
      <c r="H2368" s="114">
        <f t="shared" si="149"/>
        <v>99.777467895613981</v>
      </c>
      <c r="I2368" s="111"/>
    </row>
    <row r="2369" spans="3:9" ht="18.75" hidden="1" customHeight="1" x14ac:dyDescent="0.25">
      <c r="C2369" s="226"/>
      <c r="D2369" s="259" t="s">
        <v>1914</v>
      </c>
      <c r="E2369" s="264">
        <v>365000000</v>
      </c>
      <c r="F2369" s="243">
        <v>362710000</v>
      </c>
      <c r="G2369" s="117">
        <f t="shared" si="148"/>
        <v>99.37260273972602</v>
      </c>
      <c r="H2369" s="117">
        <f t="shared" si="149"/>
        <v>99.37260273972602</v>
      </c>
      <c r="I2369" s="111"/>
    </row>
    <row r="2370" spans="3:9" ht="16.5" hidden="1" customHeight="1" x14ac:dyDescent="0.25">
      <c r="C2370" s="226"/>
      <c r="D2370" s="263" t="s">
        <v>1915</v>
      </c>
      <c r="E2370" s="264">
        <v>664065000</v>
      </c>
      <c r="F2370" s="243">
        <v>664065000</v>
      </c>
      <c r="G2370" s="117">
        <f t="shared" si="148"/>
        <v>100</v>
      </c>
      <c r="H2370" s="117">
        <f t="shared" si="149"/>
        <v>100</v>
      </c>
      <c r="I2370" s="111"/>
    </row>
    <row r="2371" spans="3:9" ht="16.5" hidden="1" customHeight="1" x14ac:dyDescent="0.25">
      <c r="C2371" s="226"/>
      <c r="D2371" s="261" t="s">
        <v>1916</v>
      </c>
      <c r="E2371" s="262">
        <f>E2372+E2373+E2374</f>
        <v>3289617800</v>
      </c>
      <c r="F2371" s="242">
        <f>SUM(F2372:F2374)</f>
        <v>3289617800</v>
      </c>
      <c r="G2371" s="114">
        <f t="shared" si="148"/>
        <v>100</v>
      </c>
      <c r="H2371" s="114">
        <f t="shared" si="149"/>
        <v>100</v>
      </c>
      <c r="I2371" s="111"/>
    </row>
    <row r="2372" spans="3:9" ht="16.5" hidden="1" customHeight="1" x14ac:dyDescent="0.25">
      <c r="C2372" s="226"/>
      <c r="D2372" s="263" t="s">
        <v>1917</v>
      </c>
      <c r="E2372" s="264">
        <v>899992800</v>
      </c>
      <c r="F2372" s="243">
        <v>899992800</v>
      </c>
      <c r="G2372" s="117">
        <f t="shared" si="148"/>
        <v>100</v>
      </c>
      <c r="H2372" s="117">
        <f t="shared" si="149"/>
        <v>100</v>
      </c>
      <c r="I2372" s="111"/>
    </row>
    <row r="2373" spans="3:9" ht="16.5" hidden="1" customHeight="1" x14ac:dyDescent="0.25">
      <c r="C2373" s="226"/>
      <c r="D2373" s="263" t="s">
        <v>1918</v>
      </c>
      <c r="E2373" s="264">
        <v>1010160000</v>
      </c>
      <c r="F2373" s="243">
        <v>1010160000</v>
      </c>
      <c r="G2373" s="117">
        <f t="shared" si="148"/>
        <v>100</v>
      </c>
      <c r="H2373" s="117">
        <f t="shared" si="149"/>
        <v>100</v>
      </c>
      <c r="I2373" s="111"/>
    </row>
    <row r="2374" spans="3:9" ht="18.75" hidden="1" customHeight="1" x14ac:dyDescent="0.25">
      <c r="C2374" s="226"/>
      <c r="D2374" s="259" t="s">
        <v>1919</v>
      </c>
      <c r="E2374" s="264">
        <v>1379465000</v>
      </c>
      <c r="F2374" s="243">
        <v>1379465000</v>
      </c>
      <c r="G2374" s="117">
        <f t="shared" si="148"/>
        <v>100</v>
      </c>
      <c r="H2374" s="117">
        <f t="shared" si="149"/>
        <v>100</v>
      </c>
      <c r="I2374" s="111"/>
    </row>
    <row r="2375" spans="3:9" ht="16.5" hidden="1" customHeight="1" x14ac:dyDescent="0.25">
      <c r="C2375" s="226"/>
      <c r="D2375" s="261" t="s">
        <v>1920</v>
      </c>
      <c r="E2375" s="262">
        <f>E2376+E2377+E2378+E2379+E2380</f>
        <v>1872903440</v>
      </c>
      <c r="F2375" s="242">
        <f>SUM(F2376:F2380)</f>
        <v>1872903440</v>
      </c>
      <c r="G2375" s="114">
        <f t="shared" si="148"/>
        <v>100</v>
      </c>
      <c r="H2375" s="114">
        <f t="shared" si="149"/>
        <v>100</v>
      </c>
      <c r="I2375" s="111"/>
    </row>
    <row r="2376" spans="3:9" ht="16.5" hidden="1" customHeight="1" x14ac:dyDescent="0.25">
      <c r="C2376" s="226"/>
      <c r="D2376" s="263" t="s">
        <v>1921</v>
      </c>
      <c r="E2376" s="264">
        <v>289823440</v>
      </c>
      <c r="F2376" s="243">
        <v>289823440</v>
      </c>
      <c r="G2376" s="117">
        <f t="shared" si="148"/>
        <v>100</v>
      </c>
      <c r="H2376" s="117">
        <f t="shared" si="149"/>
        <v>100</v>
      </c>
      <c r="I2376" s="111"/>
    </row>
    <row r="2377" spans="3:9" ht="16.5" hidden="1" customHeight="1" x14ac:dyDescent="0.25">
      <c r="C2377" s="226"/>
      <c r="D2377" s="263" t="s">
        <v>1922</v>
      </c>
      <c r="E2377" s="264">
        <v>78000000</v>
      </c>
      <c r="F2377" s="243">
        <v>78000000</v>
      </c>
      <c r="G2377" s="117">
        <f t="shared" si="148"/>
        <v>100</v>
      </c>
      <c r="H2377" s="117">
        <f t="shared" si="149"/>
        <v>100</v>
      </c>
      <c r="I2377" s="111"/>
    </row>
    <row r="2378" spans="3:9" ht="16.5" hidden="1" customHeight="1" x14ac:dyDescent="0.25">
      <c r="C2378" s="226"/>
      <c r="D2378" s="263" t="s">
        <v>1923</v>
      </c>
      <c r="E2378" s="264">
        <v>1071540000</v>
      </c>
      <c r="F2378" s="243">
        <v>1071540000</v>
      </c>
      <c r="G2378" s="117">
        <f t="shared" si="148"/>
        <v>100</v>
      </c>
      <c r="H2378" s="117">
        <f t="shared" si="149"/>
        <v>100</v>
      </c>
      <c r="I2378" s="111"/>
    </row>
    <row r="2379" spans="3:9" ht="16.5" hidden="1" customHeight="1" x14ac:dyDescent="0.25">
      <c r="C2379" s="226"/>
      <c r="D2379" s="263" t="s">
        <v>1924</v>
      </c>
      <c r="E2379" s="264">
        <v>162420000</v>
      </c>
      <c r="F2379" s="243">
        <v>162420000</v>
      </c>
      <c r="G2379" s="117">
        <f t="shared" si="148"/>
        <v>100</v>
      </c>
      <c r="H2379" s="117">
        <f t="shared" si="149"/>
        <v>100</v>
      </c>
      <c r="I2379" s="111"/>
    </row>
    <row r="2380" spans="3:9" ht="16.5" hidden="1" customHeight="1" x14ac:dyDescent="0.25">
      <c r="C2380" s="226"/>
      <c r="D2380" s="259" t="s">
        <v>1925</v>
      </c>
      <c r="E2380" s="264">
        <v>271120000</v>
      </c>
      <c r="F2380" s="243">
        <v>271120000</v>
      </c>
      <c r="G2380" s="117">
        <f t="shared" si="148"/>
        <v>100</v>
      </c>
      <c r="H2380" s="117">
        <f t="shared" si="149"/>
        <v>100</v>
      </c>
      <c r="I2380" s="111"/>
    </row>
    <row r="2381" spans="3:9" ht="16.5" hidden="1" customHeight="1" x14ac:dyDescent="0.25">
      <c r="C2381" s="226"/>
      <c r="D2381" s="259"/>
      <c r="E2381" s="116"/>
      <c r="F2381" s="108"/>
      <c r="G2381" s="117"/>
      <c r="H2381" s="114"/>
      <c r="I2381" s="111"/>
    </row>
    <row r="2382" spans="3:9" ht="16.5" hidden="1" customHeight="1" x14ac:dyDescent="0.25">
      <c r="C2382" s="226"/>
      <c r="D2382" s="249" t="s">
        <v>1926</v>
      </c>
      <c r="E2382" s="120">
        <f>E2383+E2385</f>
        <v>18465428299</v>
      </c>
      <c r="F2382" s="242">
        <f>F2383+F2385</f>
        <v>12982113000</v>
      </c>
      <c r="G2382" s="114">
        <f>+F2382/E2382*100</f>
        <v>70.304965526865416</v>
      </c>
      <c r="H2382" s="114">
        <f>(H2383+H2385)/2</f>
        <v>72.911811164160952</v>
      </c>
      <c r="I2382" s="111"/>
    </row>
    <row r="2383" spans="3:9" ht="16.5" hidden="1" customHeight="1" x14ac:dyDescent="0.25">
      <c r="C2383" s="226"/>
      <c r="D2383" s="121" t="s">
        <v>1927</v>
      </c>
      <c r="E2383" s="120">
        <f>E2384</f>
        <v>8042534000</v>
      </c>
      <c r="F2383" s="242">
        <f>F2384</f>
        <v>7490348000</v>
      </c>
      <c r="G2383" s="114">
        <f>+F2383/E2383*100</f>
        <v>93.134178854574941</v>
      </c>
      <c r="H2383" s="114">
        <f t="shared" si="149"/>
        <v>93.134178854574941</v>
      </c>
      <c r="I2383" s="111"/>
    </row>
    <row r="2384" spans="3:9" ht="35.25" hidden="1" customHeight="1" x14ac:dyDescent="0.25">
      <c r="C2384" s="226"/>
      <c r="D2384" s="118" t="s">
        <v>1928</v>
      </c>
      <c r="E2384" s="107">
        <v>8042534000</v>
      </c>
      <c r="F2384" s="243">
        <v>7490348000</v>
      </c>
      <c r="G2384" s="117">
        <f>+F2384/E2384*100</f>
        <v>93.134178854574941</v>
      </c>
      <c r="H2384" s="117">
        <f t="shared" si="149"/>
        <v>93.134178854574941</v>
      </c>
      <c r="I2384" s="111"/>
    </row>
    <row r="2385" spans="3:9" ht="16.5" hidden="1" customHeight="1" x14ac:dyDescent="0.25">
      <c r="C2385" s="226"/>
      <c r="D2385" s="121" t="s">
        <v>1929</v>
      </c>
      <c r="E2385" s="120">
        <f>E2386</f>
        <v>10422894299</v>
      </c>
      <c r="F2385" s="242">
        <f>F2386</f>
        <v>5491765000</v>
      </c>
      <c r="G2385" s="114">
        <f>+F2385/E2385*100</f>
        <v>52.689443473746969</v>
      </c>
      <c r="H2385" s="114">
        <f t="shared" si="149"/>
        <v>52.689443473746969</v>
      </c>
      <c r="I2385" s="111"/>
    </row>
    <row r="2386" spans="3:9" ht="16.5" hidden="1" customHeight="1" x14ac:dyDescent="0.25">
      <c r="C2386" s="226"/>
      <c r="D2386" s="111" t="s">
        <v>1930</v>
      </c>
      <c r="E2386" s="107">
        <v>10422894299</v>
      </c>
      <c r="F2386" s="243">
        <v>5491765000</v>
      </c>
      <c r="G2386" s="117">
        <f>+F2386/E2386*100</f>
        <v>52.689443473746969</v>
      </c>
      <c r="H2386" s="117">
        <f t="shared" si="149"/>
        <v>52.689443473746969</v>
      </c>
      <c r="I2386" s="111"/>
    </row>
    <row r="2387" spans="3:9" ht="16.5" hidden="1" customHeight="1" x14ac:dyDescent="0.25">
      <c r="C2387" s="226"/>
      <c r="D2387" s="111"/>
      <c r="E2387" s="116"/>
      <c r="F2387" s="108"/>
      <c r="G2387" s="117"/>
      <c r="H2387" s="114"/>
      <c r="I2387" s="111"/>
    </row>
    <row r="2388" spans="3:9" ht="16.5" hidden="1" customHeight="1" x14ac:dyDescent="0.25">
      <c r="C2388" s="226"/>
      <c r="D2388" s="249" t="s">
        <v>1148</v>
      </c>
      <c r="E2388" s="120">
        <f>E2389</f>
        <v>2571195058</v>
      </c>
      <c r="F2388" s="242">
        <f>F2389</f>
        <v>2567709000</v>
      </c>
      <c r="G2388" s="114">
        <f>+F2388/E2388*100</f>
        <v>99.864418765540421</v>
      </c>
      <c r="H2388" s="114">
        <f>(H2389)/1</f>
        <v>99.864418765540421</v>
      </c>
      <c r="I2388" s="111"/>
    </row>
    <row r="2389" spans="3:9" ht="16.5" hidden="1" customHeight="1" x14ac:dyDescent="0.25">
      <c r="C2389" s="226"/>
      <c r="D2389" s="249" t="s">
        <v>1931</v>
      </c>
      <c r="E2389" s="120">
        <v>2571195058</v>
      </c>
      <c r="F2389" s="242">
        <f>F2390</f>
        <v>2567709000</v>
      </c>
      <c r="G2389" s="114">
        <f>+F2389/E2389*100</f>
        <v>99.864418765540421</v>
      </c>
      <c r="H2389" s="114">
        <f t="shared" si="149"/>
        <v>99.864418765540421</v>
      </c>
      <c r="I2389" s="111"/>
    </row>
    <row r="2390" spans="3:9" ht="18.75" hidden="1" customHeight="1" x14ac:dyDescent="0.25">
      <c r="C2390" s="226"/>
      <c r="D2390" s="118" t="s">
        <v>1932</v>
      </c>
      <c r="E2390" s="107">
        <v>2571195058</v>
      </c>
      <c r="F2390" s="243">
        <v>2567709000</v>
      </c>
      <c r="G2390" s="117">
        <f>+F2390/E2390*100</f>
        <v>99.864418765540421</v>
      </c>
      <c r="H2390" s="117">
        <f t="shared" si="149"/>
        <v>99.864418765540421</v>
      </c>
      <c r="I2390" s="111"/>
    </row>
    <row r="2391" spans="3:9" ht="16.5" hidden="1" customHeight="1" x14ac:dyDescent="0.25">
      <c r="C2391" s="226"/>
      <c r="D2391" s="118"/>
      <c r="E2391" s="116"/>
      <c r="F2391" s="108"/>
      <c r="G2391" s="117"/>
      <c r="H2391" s="114"/>
      <c r="I2391" s="111"/>
    </row>
    <row r="2392" spans="3:9" ht="16.5" hidden="1" customHeight="1" x14ac:dyDescent="0.25">
      <c r="C2392" s="226"/>
      <c r="D2392" s="249" t="s">
        <v>1933</v>
      </c>
      <c r="E2392" s="120">
        <f>E2393</f>
        <v>1556372301</v>
      </c>
      <c r="F2392" s="242">
        <f>F2393</f>
        <v>1032521000</v>
      </c>
      <c r="G2392" s="114">
        <f>+F2392/E2392*100</f>
        <v>66.341517343670589</v>
      </c>
      <c r="H2392" s="114">
        <f t="shared" si="149"/>
        <v>66.341517343670589</v>
      </c>
      <c r="I2392" s="111"/>
    </row>
    <row r="2393" spans="3:9" ht="16.5" hidden="1" customHeight="1" x14ac:dyDescent="0.25">
      <c r="C2393" s="226"/>
      <c r="D2393" s="121" t="s">
        <v>1934</v>
      </c>
      <c r="E2393" s="120">
        <v>1556372301</v>
      </c>
      <c r="F2393" s="242">
        <f>F2394</f>
        <v>1032521000</v>
      </c>
      <c r="G2393" s="114">
        <f>+F2393/E2393*100</f>
        <v>66.341517343670589</v>
      </c>
      <c r="H2393" s="114">
        <f t="shared" si="149"/>
        <v>66.341517343670589</v>
      </c>
      <c r="I2393" s="111"/>
    </row>
    <row r="2394" spans="3:9" ht="16.5" hidden="1" customHeight="1" x14ac:dyDescent="0.25">
      <c r="C2394" s="226"/>
      <c r="D2394" s="111" t="s">
        <v>1935</v>
      </c>
      <c r="E2394" s="107">
        <v>1556372301</v>
      </c>
      <c r="F2394" s="243">
        <v>1032521000</v>
      </c>
      <c r="G2394" s="117">
        <f>+F2394/E2394*100</f>
        <v>66.341517343670589</v>
      </c>
      <c r="H2394" s="117">
        <f t="shared" si="149"/>
        <v>66.341517343670589</v>
      </c>
      <c r="I2394" s="111"/>
    </row>
    <row r="2395" spans="3:9" ht="16.5" hidden="1" customHeight="1" x14ac:dyDescent="0.25">
      <c r="C2395" s="226"/>
      <c r="D2395" s="111"/>
      <c r="E2395" s="116"/>
      <c r="F2395" s="108"/>
      <c r="G2395" s="117"/>
      <c r="H2395" s="114"/>
      <c r="I2395" s="111"/>
    </row>
    <row r="2396" spans="3:9" ht="16.5" hidden="1" customHeight="1" x14ac:dyDescent="0.25">
      <c r="C2396" s="226"/>
      <c r="D2396" s="249" t="s">
        <v>1936</v>
      </c>
      <c r="E2396" s="120">
        <f>E2397+E2399+E2401</f>
        <v>3991003125</v>
      </c>
      <c r="F2396" s="242">
        <f>F2397+F2399+F2401</f>
        <v>3547098230</v>
      </c>
      <c r="G2396" s="114">
        <f t="shared" ref="G2396:G2402" si="150">+F2396/E2396*100</f>
        <v>88.87736037540688</v>
      </c>
      <c r="H2396" s="114">
        <f>(H2397+H2399+H2401)/3</f>
        <v>89.351560643206611</v>
      </c>
      <c r="I2396" s="111"/>
    </row>
    <row r="2397" spans="3:9" ht="16.5" hidden="1" customHeight="1" x14ac:dyDescent="0.25">
      <c r="C2397" s="389"/>
      <c r="D2397" s="121" t="s">
        <v>1937</v>
      </c>
      <c r="E2397" s="120">
        <v>1000003125</v>
      </c>
      <c r="F2397" s="242">
        <f>F2398</f>
        <v>893899130</v>
      </c>
      <c r="G2397" s="114">
        <f t="shared" si="150"/>
        <v>89.389633657394825</v>
      </c>
      <c r="H2397" s="114">
        <f t="shared" si="149"/>
        <v>89.389633657394825</v>
      </c>
      <c r="I2397" s="111"/>
    </row>
    <row r="2398" spans="3:9" ht="16.5" hidden="1" customHeight="1" x14ac:dyDescent="0.25">
      <c r="C2398" s="226"/>
      <c r="D2398" s="111" t="s">
        <v>1938</v>
      </c>
      <c r="E2398" s="107">
        <v>1000003125</v>
      </c>
      <c r="F2398" s="243">
        <v>893899130</v>
      </c>
      <c r="G2398" s="117">
        <f t="shared" si="150"/>
        <v>89.389633657394825</v>
      </c>
      <c r="H2398" s="117">
        <f t="shared" si="149"/>
        <v>89.389633657394825</v>
      </c>
      <c r="I2398" s="111"/>
    </row>
    <row r="2399" spans="3:9" ht="16.5" hidden="1" customHeight="1" x14ac:dyDescent="0.25">
      <c r="C2399" s="226"/>
      <c r="D2399" s="121" t="s">
        <v>1939</v>
      </c>
      <c r="E2399" s="120">
        <v>1000000000</v>
      </c>
      <c r="F2399" s="242">
        <f>F2400</f>
        <v>912232100</v>
      </c>
      <c r="G2399" s="114">
        <f t="shared" si="150"/>
        <v>91.223209999999995</v>
      </c>
      <c r="H2399" s="114">
        <f t="shared" si="149"/>
        <v>91.223209999999995</v>
      </c>
      <c r="I2399" s="111"/>
    </row>
    <row r="2400" spans="3:9" ht="16.5" hidden="1" customHeight="1" x14ac:dyDescent="0.25">
      <c r="C2400" s="226"/>
      <c r="D2400" s="111" t="s">
        <v>1940</v>
      </c>
      <c r="E2400" s="107">
        <v>1000000000</v>
      </c>
      <c r="F2400" s="243">
        <v>912232100</v>
      </c>
      <c r="G2400" s="117">
        <f t="shared" si="150"/>
        <v>91.223209999999995</v>
      </c>
      <c r="H2400" s="117">
        <f t="shared" si="149"/>
        <v>91.223209999999995</v>
      </c>
      <c r="I2400" s="111"/>
    </row>
    <row r="2401" spans="3:9" ht="16.5" hidden="1" customHeight="1" x14ac:dyDescent="0.25">
      <c r="C2401" s="226"/>
      <c r="D2401" s="121" t="s">
        <v>1941</v>
      </c>
      <c r="E2401" s="120">
        <v>1991000000</v>
      </c>
      <c r="F2401" s="242">
        <f>F2402</f>
        <v>1740967000</v>
      </c>
      <c r="G2401" s="114">
        <f t="shared" si="150"/>
        <v>87.441838272225013</v>
      </c>
      <c r="H2401" s="114">
        <f t="shared" si="149"/>
        <v>87.441838272225013</v>
      </c>
      <c r="I2401" s="111"/>
    </row>
    <row r="2402" spans="3:9" ht="16.5" hidden="1" customHeight="1" x14ac:dyDescent="0.25">
      <c r="C2402" s="226"/>
      <c r="D2402" s="111" t="s">
        <v>1942</v>
      </c>
      <c r="E2402" s="107">
        <v>1991000000</v>
      </c>
      <c r="F2402" s="243">
        <v>1740967000</v>
      </c>
      <c r="G2402" s="117">
        <f t="shared" si="150"/>
        <v>87.441838272225013</v>
      </c>
      <c r="H2402" s="117">
        <f t="shared" si="149"/>
        <v>87.441838272225013</v>
      </c>
      <c r="I2402" s="111"/>
    </row>
    <row r="2403" spans="3:9" ht="16.5" hidden="1" customHeight="1" x14ac:dyDescent="0.25">
      <c r="C2403" s="226"/>
      <c r="D2403" s="111"/>
      <c r="E2403" s="116"/>
      <c r="F2403" s="108"/>
      <c r="G2403" s="117"/>
      <c r="H2403" s="114"/>
      <c r="I2403" s="111"/>
    </row>
    <row r="2404" spans="3:9" ht="16.5" hidden="1" customHeight="1" x14ac:dyDescent="0.25">
      <c r="C2404" s="226"/>
      <c r="D2404" s="249" t="s">
        <v>1943</v>
      </c>
      <c r="E2404" s="265">
        <f>E2405+E2407+E2410+E2413+E2416</f>
        <v>2536086380</v>
      </c>
      <c r="F2404" s="242">
        <f>F2405+F2407+F2410+F2413+F2416</f>
        <v>2534582155</v>
      </c>
      <c r="G2404" s="114">
        <f>+F2404/E2404*100</f>
        <v>99.940687154354734</v>
      </c>
      <c r="H2404" s="114">
        <f>(H2405+H2407+H2410+H2413+H2416)/5</f>
        <v>79.945845192720896</v>
      </c>
      <c r="I2404" s="111"/>
    </row>
    <row r="2405" spans="3:9" ht="16.5" hidden="1" customHeight="1" x14ac:dyDescent="0.25">
      <c r="C2405" s="226"/>
      <c r="D2405" s="249" t="s">
        <v>1944</v>
      </c>
      <c r="E2405" s="120">
        <v>224987000</v>
      </c>
      <c r="F2405" s="242">
        <f>F2406</f>
        <v>224987000</v>
      </c>
      <c r="G2405" s="117"/>
      <c r="H2405" s="117">
        <f t="shared" si="149"/>
        <v>0</v>
      </c>
      <c r="I2405" s="111"/>
    </row>
    <row r="2406" spans="3:9" ht="16.5" hidden="1" customHeight="1" x14ac:dyDescent="0.25">
      <c r="C2406" s="226"/>
      <c r="D2406" s="111" t="s">
        <v>1945</v>
      </c>
      <c r="E2406" s="107">
        <v>224987000</v>
      </c>
      <c r="F2406" s="243">
        <v>224987000</v>
      </c>
      <c r="G2406" s="117"/>
      <c r="H2406" s="117">
        <f t="shared" si="149"/>
        <v>0</v>
      </c>
      <c r="I2406" s="111"/>
    </row>
    <row r="2407" spans="3:9" ht="16.5" hidden="1" customHeight="1" x14ac:dyDescent="0.25">
      <c r="C2407" s="389"/>
      <c r="D2407" s="121" t="s">
        <v>1946</v>
      </c>
      <c r="E2407" s="265">
        <f>E2408+E2409</f>
        <v>761835792</v>
      </c>
      <c r="F2407" s="242">
        <f>SUM(F2408:F2409)</f>
        <v>761835792</v>
      </c>
      <c r="G2407" s="114">
        <f t="shared" ref="G2407:G2417" si="151">+F2407/E2407*100</f>
        <v>100</v>
      </c>
      <c r="H2407" s="114">
        <f t="shared" si="149"/>
        <v>100</v>
      </c>
      <c r="I2407" s="111"/>
    </row>
    <row r="2408" spans="3:9" ht="16.5" hidden="1" customHeight="1" x14ac:dyDescent="0.25">
      <c r="C2408" s="226"/>
      <c r="D2408" s="111" t="s">
        <v>1947</v>
      </c>
      <c r="E2408" s="260">
        <v>312519380</v>
      </c>
      <c r="F2408" s="243">
        <v>312519380</v>
      </c>
      <c r="G2408" s="117">
        <f t="shared" si="151"/>
        <v>100</v>
      </c>
      <c r="H2408" s="117">
        <f t="shared" si="149"/>
        <v>100</v>
      </c>
      <c r="I2408" s="111"/>
    </row>
    <row r="2409" spans="3:9" ht="16.5" hidden="1" customHeight="1" x14ac:dyDescent="0.25">
      <c r="C2409" s="389"/>
      <c r="D2409" s="111" t="s">
        <v>1948</v>
      </c>
      <c r="E2409" s="266">
        <v>449316412</v>
      </c>
      <c r="F2409" s="243">
        <v>449316412</v>
      </c>
      <c r="G2409" s="117">
        <f t="shared" si="151"/>
        <v>100</v>
      </c>
      <c r="H2409" s="117">
        <f t="shared" si="149"/>
        <v>100</v>
      </c>
      <c r="I2409" s="111"/>
    </row>
    <row r="2410" spans="3:9" ht="16.5" hidden="1" customHeight="1" x14ac:dyDescent="0.25">
      <c r="C2410" s="226"/>
      <c r="D2410" s="121" t="s">
        <v>1949</v>
      </c>
      <c r="E2410" s="265">
        <f>E2411+E2412</f>
        <v>939278088</v>
      </c>
      <c r="F2410" s="242">
        <f>SUM(F2411:F2412)</f>
        <v>938578738</v>
      </c>
      <c r="G2410" s="114">
        <f t="shared" si="151"/>
        <v>99.925543882164959</v>
      </c>
      <c r="H2410" s="114">
        <f t="shared" si="149"/>
        <v>99.925543882164959</v>
      </c>
      <c r="I2410" s="111"/>
    </row>
    <row r="2411" spans="3:9" ht="16.5" hidden="1" customHeight="1" x14ac:dyDescent="0.25">
      <c r="C2411" s="226"/>
      <c r="D2411" s="111" t="s">
        <v>1950</v>
      </c>
      <c r="E2411" s="260">
        <v>436378000</v>
      </c>
      <c r="F2411" s="243">
        <v>435678650</v>
      </c>
      <c r="G2411" s="117">
        <f t="shared" si="151"/>
        <v>99.839737566971749</v>
      </c>
      <c r="H2411" s="117">
        <f t="shared" si="149"/>
        <v>99.839737566971749</v>
      </c>
      <c r="I2411" s="111"/>
    </row>
    <row r="2412" spans="3:9" ht="16.5" hidden="1" customHeight="1" x14ac:dyDescent="0.25">
      <c r="C2412" s="226"/>
      <c r="D2412" s="111" t="s">
        <v>1951</v>
      </c>
      <c r="E2412" s="260">
        <v>502900088</v>
      </c>
      <c r="F2412" s="243">
        <v>502900088</v>
      </c>
      <c r="G2412" s="117">
        <f t="shared" si="151"/>
        <v>100</v>
      </c>
      <c r="H2412" s="117">
        <f t="shared" si="149"/>
        <v>100</v>
      </c>
      <c r="I2412" s="111"/>
    </row>
    <row r="2413" spans="3:9" ht="16.5" hidden="1" customHeight="1" x14ac:dyDescent="0.25">
      <c r="C2413" s="226"/>
      <c r="D2413" s="121" t="s">
        <v>1952</v>
      </c>
      <c r="E2413" s="265">
        <f>E2414+E2415</f>
        <v>409985500</v>
      </c>
      <c r="F2413" s="242">
        <f>SUM(F2414:F2415)</f>
        <v>409180625</v>
      </c>
      <c r="G2413" s="114">
        <f t="shared" si="151"/>
        <v>99.803682081439476</v>
      </c>
      <c r="H2413" s="114">
        <f t="shared" si="149"/>
        <v>99.803682081439476</v>
      </c>
      <c r="I2413" s="111"/>
    </row>
    <row r="2414" spans="3:9" ht="16.5" hidden="1" customHeight="1" x14ac:dyDescent="0.25">
      <c r="C2414" s="226"/>
      <c r="D2414" s="111" t="s">
        <v>1953</v>
      </c>
      <c r="E2414" s="260">
        <v>100000000</v>
      </c>
      <c r="F2414" s="243">
        <v>99902000</v>
      </c>
      <c r="G2414" s="117">
        <f t="shared" si="151"/>
        <v>99.902000000000001</v>
      </c>
      <c r="H2414" s="117">
        <f t="shared" si="149"/>
        <v>99.902000000000001</v>
      </c>
      <c r="I2414" s="111"/>
    </row>
    <row r="2415" spans="3:9" ht="16.5" hidden="1" customHeight="1" x14ac:dyDescent="0.25">
      <c r="C2415" s="226"/>
      <c r="D2415" s="111" t="s">
        <v>1954</v>
      </c>
      <c r="E2415" s="260">
        <v>309985500</v>
      </c>
      <c r="F2415" s="243">
        <v>309278625</v>
      </c>
      <c r="G2415" s="117">
        <f t="shared" si="151"/>
        <v>99.771965140304957</v>
      </c>
      <c r="H2415" s="117">
        <f t="shared" si="149"/>
        <v>99.771965140304957</v>
      </c>
      <c r="I2415" s="111"/>
    </row>
    <row r="2416" spans="3:9" ht="16.5" hidden="1" customHeight="1" x14ac:dyDescent="0.25">
      <c r="C2416" s="226"/>
      <c r="D2416" s="121" t="s">
        <v>1955</v>
      </c>
      <c r="E2416" s="265">
        <f>E2417</f>
        <v>200000000</v>
      </c>
      <c r="F2416" s="242">
        <f>F2417</f>
        <v>200000000</v>
      </c>
      <c r="G2416" s="114">
        <f t="shared" si="151"/>
        <v>100</v>
      </c>
      <c r="H2416" s="114">
        <f t="shared" si="149"/>
        <v>100</v>
      </c>
      <c r="I2416" s="111"/>
    </row>
    <row r="2417" spans="3:9" ht="16.5" hidden="1" customHeight="1" x14ac:dyDescent="0.25">
      <c r="C2417" s="226"/>
      <c r="D2417" s="111" t="s">
        <v>1956</v>
      </c>
      <c r="E2417" s="260">
        <v>200000000</v>
      </c>
      <c r="F2417" s="243">
        <v>200000000</v>
      </c>
      <c r="G2417" s="117">
        <f t="shared" si="151"/>
        <v>100</v>
      </c>
      <c r="H2417" s="117">
        <f t="shared" si="149"/>
        <v>100</v>
      </c>
      <c r="I2417" s="111"/>
    </row>
    <row r="2418" spans="3:9" ht="16.5" hidden="1" customHeight="1" x14ac:dyDescent="0.25">
      <c r="C2418" s="226"/>
      <c r="D2418" s="111"/>
      <c r="E2418" s="116"/>
      <c r="F2418" s="108"/>
      <c r="G2418" s="117"/>
      <c r="H2418" s="114"/>
      <c r="I2418" s="111"/>
    </row>
    <row r="2419" spans="3:9" ht="16.5" hidden="1" customHeight="1" x14ac:dyDescent="0.25">
      <c r="C2419" s="389"/>
      <c r="D2419" s="249" t="s">
        <v>1111</v>
      </c>
      <c r="E2419" s="120">
        <v>19299171800</v>
      </c>
      <c r="F2419" s="242">
        <f>F2420</f>
        <v>14718921800</v>
      </c>
      <c r="G2419" s="114">
        <f t="shared" ref="G2419:G2427" si="152">+F2419/E2419*100</f>
        <v>76.267116291487696</v>
      </c>
      <c r="H2419" s="114">
        <f>(H2420)/1</f>
        <v>86.91357142857143</v>
      </c>
      <c r="I2419" s="111"/>
    </row>
    <row r="2420" spans="3:9" ht="16.5" hidden="1" customHeight="1" x14ac:dyDescent="0.25">
      <c r="C2420" s="226"/>
      <c r="D2420" s="121" t="s">
        <v>1957</v>
      </c>
      <c r="E2420" s="120">
        <v>19299171800</v>
      </c>
      <c r="F2420" s="242">
        <f>SUM(F2421:F2427)</f>
        <v>14718921800</v>
      </c>
      <c r="G2420" s="114">
        <f t="shared" si="152"/>
        <v>76.267116291487696</v>
      </c>
      <c r="H2420" s="114">
        <f>SUM(H2421:H2427)/7</f>
        <v>86.91357142857143</v>
      </c>
      <c r="I2420" s="111"/>
    </row>
    <row r="2421" spans="3:9" ht="16.5" hidden="1" customHeight="1" x14ac:dyDescent="0.25">
      <c r="C2421" s="226"/>
      <c r="D2421" s="111" t="s">
        <v>1958</v>
      </c>
      <c r="E2421" s="107">
        <v>541000000</v>
      </c>
      <c r="F2421" s="243">
        <v>541000000</v>
      </c>
      <c r="G2421" s="117">
        <f t="shared" si="152"/>
        <v>100</v>
      </c>
      <c r="H2421" s="117">
        <f t="shared" ref="H2421:H2470" si="153">+G2421</f>
        <v>100</v>
      </c>
      <c r="I2421" s="111"/>
    </row>
    <row r="2422" spans="3:9" ht="16.5" hidden="1" customHeight="1" x14ac:dyDescent="0.25">
      <c r="C2422" s="226"/>
      <c r="D2422" s="111" t="s">
        <v>1959</v>
      </c>
      <c r="E2422" s="107">
        <v>3100000000</v>
      </c>
      <c r="F2422" s="243">
        <v>3100000000</v>
      </c>
      <c r="G2422" s="117">
        <f t="shared" si="152"/>
        <v>100</v>
      </c>
      <c r="H2422" s="117">
        <f t="shared" si="153"/>
        <v>100</v>
      </c>
      <c r="I2422" s="111"/>
    </row>
    <row r="2423" spans="3:9" ht="16.5" hidden="1" customHeight="1" x14ac:dyDescent="0.25">
      <c r="C2423" s="226"/>
      <c r="D2423" s="111" t="s">
        <v>1960</v>
      </c>
      <c r="E2423" s="107">
        <v>9048900000</v>
      </c>
      <c r="F2423" s="243">
        <v>9048900000</v>
      </c>
      <c r="G2423" s="117">
        <f t="shared" si="152"/>
        <v>100</v>
      </c>
      <c r="H2423" s="117">
        <f t="shared" si="153"/>
        <v>100</v>
      </c>
      <c r="I2423" s="111"/>
    </row>
    <row r="2424" spans="3:9" ht="16.5" hidden="1" customHeight="1" x14ac:dyDescent="0.25">
      <c r="C2424" s="226"/>
      <c r="D2424" s="111" t="s">
        <v>1961</v>
      </c>
      <c r="E2424" s="260">
        <v>5000000000</v>
      </c>
      <c r="F2424" s="243">
        <v>419750000</v>
      </c>
      <c r="G2424" s="117">
        <f t="shared" si="152"/>
        <v>8.3949999999999996</v>
      </c>
      <c r="H2424" s="117">
        <f t="shared" si="153"/>
        <v>8.3949999999999996</v>
      </c>
      <c r="I2424" s="111"/>
    </row>
    <row r="2425" spans="3:9" ht="35.25" hidden="1" customHeight="1" x14ac:dyDescent="0.25">
      <c r="C2425" s="226"/>
      <c r="D2425" s="118" t="s">
        <v>1962</v>
      </c>
      <c r="E2425" s="107">
        <v>233876740</v>
      </c>
      <c r="F2425" s="243">
        <v>233876740</v>
      </c>
      <c r="G2425" s="117">
        <f t="shared" si="152"/>
        <v>100</v>
      </c>
      <c r="H2425" s="117">
        <f t="shared" si="153"/>
        <v>100</v>
      </c>
      <c r="I2425" s="111"/>
    </row>
    <row r="2426" spans="3:9" ht="16.5" hidden="1" customHeight="1" x14ac:dyDescent="0.25">
      <c r="C2426" s="226"/>
      <c r="D2426" s="111" t="s">
        <v>1963</v>
      </c>
      <c r="E2426" s="107">
        <v>371195060</v>
      </c>
      <c r="F2426" s="243">
        <v>371195060</v>
      </c>
      <c r="G2426" s="117">
        <f t="shared" si="152"/>
        <v>100</v>
      </c>
      <c r="H2426" s="117">
        <f t="shared" si="153"/>
        <v>100</v>
      </c>
      <c r="I2426" s="111"/>
    </row>
    <row r="2427" spans="3:9" ht="16.5" hidden="1" customHeight="1" x14ac:dyDescent="0.25">
      <c r="C2427" s="226"/>
      <c r="D2427" s="111" t="s">
        <v>1964</v>
      </c>
      <c r="E2427" s="107">
        <v>1004200000</v>
      </c>
      <c r="F2427" s="243">
        <v>1004200000</v>
      </c>
      <c r="G2427" s="117">
        <f t="shared" si="152"/>
        <v>100</v>
      </c>
      <c r="H2427" s="117">
        <f t="shared" si="153"/>
        <v>100</v>
      </c>
      <c r="I2427" s="111"/>
    </row>
    <row r="2428" spans="3:9" ht="16.5" hidden="1" customHeight="1" x14ac:dyDescent="0.25">
      <c r="C2428" s="226"/>
      <c r="D2428" s="111"/>
      <c r="E2428" s="107"/>
      <c r="F2428" s="108"/>
      <c r="G2428" s="114"/>
      <c r="H2428" s="114"/>
      <c r="I2428" s="111"/>
    </row>
    <row r="2429" spans="3:9" ht="16.5" hidden="1" customHeight="1" x14ac:dyDescent="0.25">
      <c r="C2429" s="226"/>
      <c r="D2429" s="249" t="s">
        <v>1075</v>
      </c>
      <c r="E2429" s="120">
        <f>E2430</f>
        <v>1118251509</v>
      </c>
      <c r="F2429" s="242">
        <f>F2430</f>
        <v>1113936509</v>
      </c>
      <c r="G2429" s="114">
        <f>+F2429/E2429*100</f>
        <v>99.614129740467888</v>
      </c>
      <c r="H2429" s="114">
        <f>(H2430)/1</f>
        <v>99.755939329404583</v>
      </c>
      <c r="I2429" s="111"/>
    </row>
    <row r="2430" spans="3:9" ht="16.5" hidden="1" customHeight="1" x14ac:dyDescent="0.25">
      <c r="C2430" s="226"/>
      <c r="D2430" s="121" t="s">
        <v>1965</v>
      </c>
      <c r="E2430" s="120">
        <v>1118251509</v>
      </c>
      <c r="F2430" s="242">
        <f>SUM(F2431:F2432)</f>
        <v>1113936509</v>
      </c>
      <c r="G2430" s="114">
        <f>+F2430/E2430*100</f>
        <v>99.614129740467888</v>
      </c>
      <c r="H2430" s="114">
        <f>SUM(H2431:H2432)/2</f>
        <v>99.755939329404583</v>
      </c>
      <c r="I2430" s="111"/>
    </row>
    <row r="2431" spans="3:9" ht="16.5" hidden="1" customHeight="1" x14ac:dyDescent="0.25">
      <c r="C2431" s="226"/>
      <c r="D2431" s="118" t="s">
        <v>1966</v>
      </c>
      <c r="E2431" s="107">
        <v>900000000</v>
      </c>
      <c r="F2431" s="243">
        <v>895710000</v>
      </c>
      <c r="G2431" s="117">
        <f>+F2431/E2431*100</f>
        <v>99.523333333333326</v>
      </c>
      <c r="H2431" s="117">
        <f t="shared" si="153"/>
        <v>99.523333333333326</v>
      </c>
      <c r="I2431" s="111"/>
    </row>
    <row r="2432" spans="3:9" ht="16.5" hidden="1" customHeight="1" x14ac:dyDescent="0.25">
      <c r="C2432" s="226"/>
      <c r="D2432" s="111" t="s">
        <v>1967</v>
      </c>
      <c r="E2432" s="107">
        <v>218251509</v>
      </c>
      <c r="F2432" s="243">
        <v>218226509</v>
      </c>
      <c r="G2432" s="117">
        <f>+F2432/E2432*100</f>
        <v>99.988545325475854</v>
      </c>
      <c r="H2432" s="117">
        <f t="shared" si="153"/>
        <v>99.988545325475854</v>
      </c>
      <c r="I2432" s="111"/>
    </row>
    <row r="2433" spans="3:9" ht="16.5" hidden="1" customHeight="1" x14ac:dyDescent="0.25">
      <c r="C2433" s="226"/>
      <c r="D2433" s="111"/>
      <c r="E2433" s="107"/>
      <c r="F2433" s="108"/>
      <c r="G2433" s="114"/>
      <c r="H2433" s="114"/>
      <c r="I2433" s="111"/>
    </row>
    <row r="2434" spans="3:9" ht="16.5" hidden="1" customHeight="1" x14ac:dyDescent="0.25">
      <c r="C2434" s="226"/>
      <c r="D2434" s="249" t="s">
        <v>1968</v>
      </c>
      <c r="E2434" s="120">
        <f>E2435</f>
        <v>5690150000</v>
      </c>
      <c r="F2434" s="242">
        <f>F2435</f>
        <v>5669569999</v>
      </c>
      <c r="G2434" s="114">
        <f>+F2434/E2434*100</f>
        <v>99.638322346511075</v>
      </c>
      <c r="H2434" s="114">
        <f t="shared" si="153"/>
        <v>99.638322346511075</v>
      </c>
      <c r="I2434" s="111"/>
    </row>
    <row r="2435" spans="3:9" ht="16.5" hidden="1" customHeight="1" x14ac:dyDescent="0.25">
      <c r="C2435" s="226"/>
      <c r="D2435" s="121" t="s">
        <v>1969</v>
      </c>
      <c r="E2435" s="169">
        <v>5690150000</v>
      </c>
      <c r="F2435" s="242">
        <f>F2436</f>
        <v>5669569999</v>
      </c>
      <c r="G2435" s="114">
        <f>+F2435/E2435*100</f>
        <v>99.638322346511075</v>
      </c>
      <c r="H2435" s="114">
        <f t="shared" si="153"/>
        <v>99.638322346511075</v>
      </c>
      <c r="I2435" s="111"/>
    </row>
    <row r="2436" spans="3:9" ht="18.75" hidden="1" customHeight="1" x14ac:dyDescent="0.25">
      <c r="C2436" s="226"/>
      <c r="D2436" s="118" t="s">
        <v>1970</v>
      </c>
      <c r="E2436" s="169">
        <v>5690150000</v>
      </c>
      <c r="F2436" s="243">
        <v>5669569999</v>
      </c>
      <c r="G2436" s="114">
        <f>+F2436/E2436*100</f>
        <v>99.638322346511075</v>
      </c>
      <c r="H2436" s="114">
        <f t="shared" si="153"/>
        <v>99.638322346511075</v>
      </c>
      <c r="I2436" s="111"/>
    </row>
    <row r="2437" spans="3:9" ht="18" hidden="1" customHeight="1" x14ac:dyDescent="0.25">
      <c r="C2437" s="226"/>
      <c r="D2437" s="118"/>
      <c r="E2437" s="169"/>
      <c r="F2437" s="243"/>
      <c r="G2437" s="114"/>
      <c r="H2437" s="114"/>
      <c r="I2437" s="111"/>
    </row>
    <row r="2438" spans="3:9" ht="16.5" hidden="1" customHeight="1" x14ac:dyDescent="0.25">
      <c r="C2438" s="226"/>
      <c r="D2438" s="249" t="s">
        <v>1971</v>
      </c>
      <c r="E2438" s="120">
        <f>E2439</f>
        <v>1700000000</v>
      </c>
      <c r="F2438" s="242">
        <f>F2439</f>
        <v>1699193237</v>
      </c>
      <c r="G2438" s="114">
        <f>+F2438/E2438*100</f>
        <v>99.952543352941177</v>
      </c>
      <c r="H2438" s="114">
        <f t="shared" si="153"/>
        <v>99.952543352941177</v>
      </c>
      <c r="I2438" s="111"/>
    </row>
    <row r="2439" spans="3:9" ht="18.75" hidden="1" customHeight="1" x14ac:dyDescent="0.25">
      <c r="C2439" s="226"/>
      <c r="D2439" s="249" t="s">
        <v>1972</v>
      </c>
      <c r="E2439" s="120">
        <f>E2440+E2441</f>
        <v>1700000000</v>
      </c>
      <c r="F2439" s="242">
        <f>SUM(F2440:F2441)</f>
        <v>1699193237</v>
      </c>
      <c r="G2439" s="114">
        <f>+F2439/E2439*100</f>
        <v>99.952543352941177</v>
      </c>
      <c r="H2439" s="114">
        <f t="shared" si="153"/>
        <v>99.952543352941177</v>
      </c>
      <c r="I2439" s="111"/>
    </row>
    <row r="2440" spans="3:9" ht="16.5" hidden="1" customHeight="1" x14ac:dyDescent="0.25">
      <c r="C2440" s="226"/>
      <c r="D2440" s="111" t="s">
        <v>1973</v>
      </c>
      <c r="E2440" s="107">
        <v>609542962</v>
      </c>
      <c r="F2440" s="243">
        <v>609496212</v>
      </c>
      <c r="G2440" s="117">
        <f>+F2440/E2440*100</f>
        <v>99.992330319121947</v>
      </c>
      <c r="H2440" s="117">
        <f t="shared" si="153"/>
        <v>99.992330319121947</v>
      </c>
      <c r="I2440" s="111"/>
    </row>
    <row r="2441" spans="3:9" ht="16.5" hidden="1" customHeight="1" x14ac:dyDescent="0.25">
      <c r="C2441" s="226"/>
      <c r="D2441" s="111" t="s">
        <v>1974</v>
      </c>
      <c r="E2441" s="107">
        <v>1090457038</v>
      </c>
      <c r="F2441" s="243">
        <v>1089697025</v>
      </c>
      <c r="G2441" s="117">
        <f>+F2441/E2441*100</f>
        <v>99.93030326060402</v>
      </c>
      <c r="H2441" s="117">
        <f t="shared" si="153"/>
        <v>99.93030326060402</v>
      </c>
      <c r="I2441" s="111"/>
    </row>
    <row r="2442" spans="3:9" ht="16.5" hidden="1" customHeight="1" x14ac:dyDescent="0.25">
      <c r="C2442" s="226"/>
      <c r="D2442" s="111"/>
      <c r="E2442" s="107"/>
      <c r="F2442" s="108"/>
      <c r="G2442" s="114"/>
      <c r="H2442" s="114"/>
      <c r="I2442" s="111"/>
    </row>
    <row r="2443" spans="3:9" ht="16.5" hidden="1" customHeight="1" x14ac:dyDescent="0.25">
      <c r="C2443" s="226"/>
      <c r="D2443" s="249" t="s">
        <v>1975</v>
      </c>
      <c r="E2443" s="120">
        <f>E2444</f>
        <v>1900000060</v>
      </c>
      <c r="F2443" s="242">
        <f>F2444</f>
        <v>1899461660</v>
      </c>
      <c r="G2443" s="114">
        <f>+F2443/E2443*100</f>
        <v>99.971663158789582</v>
      </c>
      <c r="H2443" s="114">
        <f t="shared" si="153"/>
        <v>99.971663158789582</v>
      </c>
      <c r="I2443" s="111"/>
    </row>
    <row r="2444" spans="3:9" ht="16.5" hidden="1" customHeight="1" x14ac:dyDescent="0.25">
      <c r="C2444" s="226"/>
      <c r="D2444" s="121" t="s">
        <v>1976</v>
      </c>
      <c r="E2444" s="120">
        <v>1900000060</v>
      </c>
      <c r="F2444" s="242">
        <f>F2445</f>
        <v>1899461660</v>
      </c>
      <c r="G2444" s="114">
        <f>+F2444/E2444*100</f>
        <v>99.971663158789582</v>
      </c>
      <c r="H2444" s="114">
        <f t="shared" si="153"/>
        <v>99.971663158789582</v>
      </c>
      <c r="I2444" s="111"/>
    </row>
    <row r="2445" spans="3:9" ht="16.5" hidden="1" customHeight="1" x14ac:dyDescent="0.25">
      <c r="C2445" s="226"/>
      <c r="D2445" s="111" t="s">
        <v>1977</v>
      </c>
      <c r="E2445" s="107">
        <v>1900000060</v>
      </c>
      <c r="F2445" s="243">
        <v>1899461660</v>
      </c>
      <c r="G2445" s="117">
        <f>+F2445/E2445*100</f>
        <v>99.971663158789582</v>
      </c>
      <c r="H2445" s="117">
        <f t="shared" si="153"/>
        <v>99.971663158789582</v>
      </c>
      <c r="I2445" s="111"/>
    </row>
    <row r="2446" spans="3:9" ht="16.5" hidden="1" customHeight="1" x14ac:dyDescent="0.25">
      <c r="C2446" s="226"/>
      <c r="D2446" s="111"/>
      <c r="E2446" s="116"/>
      <c r="F2446" s="108"/>
      <c r="G2446" s="117"/>
      <c r="H2446" s="114"/>
      <c r="I2446" s="111"/>
    </row>
    <row r="2447" spans="3:9" ht="16.5" hidden="1" customHeight="1" x14ac:dyDescent="0.25">
      <c r="C2447" s="226"/>
      <c r="D2447" s="249" t="s">
        <v>1978</v>
      </c>
      <c r="E2447" s="120">
        <f>E2448</f>
        <v>1559000000</v>
      </c>
      <c r="F2447" s="242">
        <f>F2448</f>
        <v>1559000000</v>
      </c>
      <c r="G2447" s="114">
        <f>+F2447/E2447*100</f>
        <v>100</v>
      </c>
      <c r="H2447" s="114">
        <f t="shared" si="153"/>
        <v>100</v>
      </c>
      <c r="I2447" s="111"/>
    </row>
    <row r="2448" spans="3:9" ht="16.5" hidden="1" customHeight="1" x14ac:dyDescent="0.25">
      <c r="C2448" s="226"/>
      <c r="D2448" s="121" t="s">
        <v>1979</v>
      </c>
      <c r="E2448" s="120">
        <v>1559000000</v>
      </c>
      <c r="F2448" s="242">
        <f>SUM(F2449:F2450)</f>
        <v>1559000000</v>
      </c>
      <c r="G2448" s="114">
        <f>+F2448/E2448*100</f>
        <v>100</v>
      </c>
      <c r="H2448" s="114">
        <f t="shared" si="153"/>
        <v>100</v>
      </c>
      <c r="I2448" s="111"/>
    </row>
    <row r="2449" spans="3:9" ht="16.5" hidden="1" customHeight="1" x14ac:dyDescent="0.25">
      <c r="C2449" s="226"/>
      <c r="D2449" s="111" t="s">
        <v>1980</v>
      </c>
      <c r="E2449" s="107">
        <v>1059000000</v>
      </c>
      <c r="F2449" s="243">
        <v>1059000000</v>
      </c>
      <c r="G2449" s="117">
        <f>+F2449/E2449*100</f>
        <v>100</v>
      </c>
      <c r="H2449" s="117">
        <f t="shared" si="153"/>
        <v>100</v>
      </c>
      <c r="I2449" s="111"/>
    </row>
    <row r="2450" spans="3:9" ht="16.5" hidden="1" customHeight="1" x14ac:dyDescent="0.25">
      <c r="C2450" s="226"/>
      <c r="D2450" s="111" t="s">
        <v>1981</v>
      </c>
      <c r="E2450" s="107">
        <v>500000000</v>
      </c>
      <c r="F2450" s="243">
        <v>500000000</v>
      </c>
      <c r="G2450" s="117">
        <f>+F2450/E2450*100</f>
        <v>100</v>
      </c>
      <c r="H2450" s="117">
        <f t="shared" si="153"/>
        <v>100</v>
      </c>
      <c r="I2450" s="111"/>
    </row>
    <row r="2451" spans="3:9" ht="16.5" hidden="1" customHeight="1" x14ac:dyDescent="0.25">
      <c r="C2451" s="226"/>
      <c r="D2451" s="111"/>
      <c r="E2451" s="107"/>
      <c r="F2451" s="108"/>
      <c r="G2451" s="114"/>
      <c r="H2451" s="114"/>
      <c r="I2451" s="111"/>
    </row>
    <row r="2452" spans="3:9" ht="16.5" hidden="1" customHeight="1" x14ac:dyDescent="0.25">
      <c r="C2452" s="226"/>
      <c r="D2452" s="249" t="s">
        <v>1982</v>
      </c>
      <c r="E2452" s="120">
        <f>E2453+E2456</f>
        <v>3722000000</v>
      </c>
      <c r="F2452" s="242">
        <f>F2453+F2456</f>
        <v>3686724999</v>
      </c>
      <c r="G2452" s="114">
        <f t="shared" ref="G2452:G2458" si="154">+F2452/E2452*100</f>
        <v>99.052256824288023</v>
      </c>
      <c r="H2452" s="114">
        <f t="shared" si="153"/>
        <v>99.052256824288023</v>
      </c>
      <c r="I2452" s="111"/>
    </row>
    <row r="2453" spans="3:9" ht="16.5" hidden="1" customHeight="1" x14ac:dyDescent="0.25">
      <c r="C2453" s="226"/>
      <c r="D2453" s="261" t="s">
        <v>1939</v>
      </c>
      <c r="E2453" s="262">
        <f>E2454+E2455</f>
        <v>2035000000</v>
      </c>
      <c r="F2453" s="242">
        <f>SUM(F2454:F2455)</f>
        <v>2001579999</v>
      </c>
      <c r="G2453" s="114">
        <f t="shared" si="154"/>
        <v>98.357739508599508</v>
      </c>
      <c r="H2453" s="114">
        <f>SUM(H2454:H2455)/2</f>
        <v>98.873974984423683</v>
      </c>
      <c r="I2453" s="111"/>
    </row>
    <row r="2454" spans="3:9" ht="16.5" hidden="1" customHeight="1" x14ac:dyDescent="0.25">
      <c r="C2454" s="226"/>
      <c r="D2454" s="263" t="s">
        <v>1983</v>
      </c>
      <c r="E2454" s="264">
        <v>535000000</v>
      </c>
      <c r="F2454" s="243">
        <v>534799999</v>
      </c>
      <c r="G2454" s="117">
        <f t="shared" si="154"/>
        <v>99.962616635514024</v>
      </c>
      <c r="H2454" s="117">
        <f t="shared" si="153"/>
        <v>99.962616635514024</v>
      </c>
      <c r="I2454" s="111"/>
    </row>
    <row r="2455" spans="3:9" ht="16.5" hidden="1" customHeight="1" x14ac:dyDescent="0.25">
      <c r="C2455" s="226"/>
      <c r="D2455" s="263" t="s">
        <v>1984</v>
      </c>
      <c r="E2455" s="264">
        <v>1500000000</v>
      </c>
      <c r="F2455" s="243">
        <v>1466780000</v>
      </c>
      <c r="G2455" s="117">
        <f t="shared" si="154"/>
        <v>97.785333333333341</v>
      </c>
      <c r="H2455" s="117">
        <f t="shared" si="153"/>
        <v>97.785333333333341</v>
      </c>
      <c r="I2455" s="111"/>
    </row>
    <row r="2456" spans="3:9" ht="16.5" hidden="1" customHeight="1" x14ac:dyDescent="0.25">
      <c r="C2456" s="226"/>
      <c r="D2456" s="261" t="s">
        <v>1985</v>
      </c>
      <c r="E2456" s="262">
        <f>E2457+E2458</f>
        <v>1687000000</v>
      </c>
      <c r="F2456" s="242">
        <f>SUM(F2457:F2458)</f>
        <v>1685145000</v>
      </c>
      <c r="G2456" s="114">
        <f t="shared" si="154"/>
        <v>99.890041493775939</v>
      </c>
      <c r="H2456" s="114">
        <f>SUM(H2457:H2458)/2</f>
        <v>99.900415938864626</v>
      </c>
      <c r="I2456" s="111"/>
    </row>
    <row r="2457" spans="3:9" ht="16.5" hidden="1" customHeight="1" x14ac:dyDescent="0.25">
      <c r="C2457" s="226"/>
      <c r="D2457" s="263" t="s">
        <v>1986</v>
      </c>
      <c r="E2457" s="264">
        <v>1000000000</v>
      </c>
      <c r="F2457" s="243">
        <v>998445000</v>
      </c>
      <c r="G2457" s="117">
        <f t="shared" si="154"/>
        <v>99.844499999999996</v>
      </c>
      <c r="H2457" s="117">
        <f t="shared" si="153"/>
        <v>99.844499999999996</v>
      </c>
      <c r="I2457" s="111"/>
    </row>
    <row r="2458" spans="3:9" ht="16.5" hidden="1" customHeight="1" x14ac:dyDescent="0.25">
      <c r="C2458" s="226"/>
      <c r="D2458" s="263" t="s">
        <v>1987</v>
      </c>
      <c r="E2458" s="264">
        <v>687000000</v>
      </c>
      <c r="F2458" s="243">
        <v>686700000</v>
      </c>
      <c r="G2458" s="117">
        <f t="shared" si="154"/>
        <v>99.956331877729255</v>
      </c>
      <c r="H2458" s="117">
        <f t="shared" si="153"/>
        <v>99.956331877729255</v>
      </c>
      <c r="I2458" s="111"/>
    </row>
    <row r="2459" spans="3:9" ht="16.5" hidden="1" customHeight="1" x14ac:dyDescent="0.25">
      <c r="C2459" s="226"/>
      <c r="D2459" s="263"/>
      <c r="E2459" s="116"/>
      <c r="F2459" s="108"/>
      <c r="G2459" s="117"/>
      <c r="H2459" s="114"/>
      <c r="I2459" s="111"/>
    </row>
    <row r="2460" spans="3:9" ht="16.5" hidden="1" customHeight="1" x14ac:dyDescent="0.25">
      <c r="C2460" s="226"/>
      <c r="D2460" s="249" t="s">
        <v>1988</v>
      </c>
      <c r="E2460" s="120">
        <f>E2461</f>
        <v>300000000</v>
      </c>
      <c r="F2460" s="242">
        <f>F2461</f>
        <v>300000000</v>
      </c>
      <c r="G2460" s="114">
        <f>+F2460/E2460*100</f>
        <v>100</v>
      </c>
      <c r="H2460" s="114">
        <f t="shared" si="153"/>
        <v>100</v>
      </c>
      <c r="I2460" s="111"/>
    </row>
    <row r="2461" spans="3:9" ht="16.5" hidden="1" customHeight="1" x14ac:dyDescent="0.25">
      <c r="C2461" s="226"/>
      <c r="D2461" s="261" t="s">
        <v>1989</v>
      </c>
      <c r="E2461" s="262">
        <f>E2462</f>
        <v>300000000</v>
      </c>
      <c r="F2461" s="242">
        <f>F2462</f>
        <v>300000000</v>
      </c>
      <c r="G2461" s="114">
        <f>+F2461/E2461*100</f>
        <v>100</v>
      </c>
      <c r="H2461" s="114">
        <f t="shared" si="153"/>
        <v>100</v>
      </c>
      <c r="I2461" s="111"/>
    </row>
    <row r="2462" spans="3:9" ht="16.5" hidden="1" customHeight="1" x14ac:dyDescent="0.25">
      <c r="C2462" s="226"/>
      <c r="D2462" s="263" t="s">
        <v>1990</v>
      </c>
      <c r="E2462" s="264">
        <v>300000000</v>
      </c>
      <c r="F2462" s="243">
        <v>300000000</v>
      </c>
      <c r="G2462" s="114">
        <f>+F2462/E2462*100</f>
        <v>100</v>
      </c>
      <c r="H2462" s="114">
        <f t="shared" si="153"/>
        <v>100</v>
      </c>
      <c r="I2462" s="111"/>
    </row>
    <row r="2463" spans="3:9" ht="16.5" hidden="1" customHeight="1" x14ac:dyDescent="0.25">
      <c r="C2463" s="226"/>
      <c r="D2463" s="263"/>
      <c r="E2463" s="264"/>
      <c r="F2463" s="108"/>
      <c r="G2463" s="114"/>
      <c r="H2463" s="114"/>
      <c r="I2463" s="111"/>
    </row>
    <row r="2464" spans="3:9" ht="16.5" hidden="1" customHeight="1" x14ac:dyDescent="0.25">
      <c r="C2464" s="226"/>
      <c r="D2464" s="249" t="s">
        <v>1991</v>
      </c>
      <c r="E2464" s="120">
        <f>+E2465+E2468</f>
        <v>16608683618</v>
      </c>
      <c r="F2464" s="242">
        <f>F2465+F2468</f>
        <v>11042558266</v>
      </c>
      <c r="G2464" s="114">
        <f t="shared" ref="G2464:G2470" si="155">+F2464/E2464*100</f>
        <v>66.486655535014236</v>
      </c>
      <c r="H2464" s="114">
        <f>(H2465+H2468)/2</f>
        <v>61.783307013557952</v>
      </c>
      <c r="I2464" s="111"/>
    </row>
    <row r="2465" spans="3:9" ht="16.5" hidden="1" customHeight="1" x14ac:dyDescent="0.25">
      <c r="C2465" s="226"/>
      <c r="D2465" s="261" t="s">
        <v>1992</v>
      </c>
      <c r="E2465" s="262">
        <f>E2466+E2467</f>
        <v>3100000000</v>
      </c>
      <c r="F2465" s="242">
        <f>SUM(F2466:F2467)</f>
        <v>1922306578</v>
      </c>
      <c r="G2465" s="114">
        <f t="shared" si="155"/>
        <v>62.009889612903223</v>
      </c>
      <c r="H2465" s="114">
        <f>SUM(H2466:H2467)/2</f>
        <v>60.752236116479239</v>
      </c>
      <c r="I2465" s="111"/>
    </row>
    <row r="2466" spans="3:9" ht="16.5" hidden="1" customHeight="1" x14ac:dyDescent="0.25">
      <c r="C2466" s="226"/>
      <c r="D2466" s="263" t="s">
        <v>1993</v>
      </c>
      <c r="E2466" s="264">
        <v>1864402000</v>
      </c>
      <c r="F2466" s="243">
        <v>1248263011</v>
      </c>
      <c r="G2466" s="117">
        <f t="shared" si="155"/>
        <v>66.952460413580326</v>
      </c>
      <c r="H2466" s="117">
        <f t="shared" si="153"/>
        <v>66.952460413580326</v>
      </c>
      <c r="I2466" s="111"/>
    </row>
    <row r="2467" spans="3:9" ht="16.5" hidden="1" customHeight="1" x14ac:dyDescent="0.25">
      <c r="C2467" s="226"/>
      <c r="D2467" s="263" t="s">
        <v>1994</v>
      </c>
      <c r="E2467" s="264">
        <v>1235598000</v>
      </c>
      <c r="F2467" s="243">
        <v>674043567</v>
      </c>
      <c r="G2467" s="117">
        <f t="shared" si="155"/>
        <v>54.552011819378144</v>
      </c>
      <c r="H2467" s="117">
        <f t="shared" si="153"/>
        <v>54.552011819378144</v>
      </c>
      <c r="I2467" s="111"/>
    </row>
    <row r="2468" spans="3:9" ht="16.5" hidden="1" customHeight="1" x14ac:dyDescent="0.25">
      <c r="C2468" s="226"/>
      <c r="D2468" s="261" t="s">
        <v>1995</v>
      </c>
      <c r="E2468" s="262">
        <f>E2469+E2470</f>
        <v>13508683618</v>
      </c>
      <c r="F2468" s="242">
        <f>SUM(F2469:F2470)</f>
        <v>9120251688</v>
      </c>
      <c r="G2468" s="114">
        <f t="shared" si="155"/>
        <v>67.513992820495702</v>
      </c>
      <c r="H2468" s="114">
        <f>SUM(H2469:H2470)/2</f>
        <v>62.814377910636665</v>
      </c>
      <c r="I2468" s="111"/>
    </row>
    <row r="2469" spans="3:9" ht="16.5" hidden="1" customHeight="1" x14ac:dyDescent="0.25">
      <c r="C2469" s="226"/>
      <c r="D2469" s="263" t="s">
        <v>1996</v>
      </c>
      <c r="E2469" s="264">
        <v>508683618</v>
      </c>
      <c r="F2469" s="243">
        <v>293673218</v>
      </c>
      <c r="G2469" s="117">
        <f t="shared" si="155"/>
        <v>57.731998359734874</v>
      </c>
      <c r="H2469" s="117">
        <f t="shared" si="153"/>
        <v>57.731998359734874</v>
      </c>
      <c r="I2469" s="111"/>
    </row>
    <row r="2470" spans="3:9" ht="16.5" hidden="1" customHeight="1" x14ac:dyDescent="0.25">
      <c r="C2470" s="226"/>
      <c r="D2470" s="263" t="s">
        <v>1997</v>
      </c>
      <c r="E2470" s="264">
        <v>13000000000</v>
      </c>
      <c r="F2470" s="243">
        <v>8826578470</v>
      </c>
      <c r="G2470" s="117">
        <f t="shared" si="155"/>
        <v>67.896757461538456</v>
      </c>
      <c r="H2470" s="117">
        <f t="shared" si="153"/>
        <v>67.896757461538456</v>
      </c>
      <c r="I2470" s="111"/>
    </row>
    <row r="2471" spans="3:9" ht="16.5" hidden="1" customHeight="1" x14ac:dyDescent="0.25">
      <c r="C2471" s="109"/>
      <c r="D2471" s="111"/>
      <c r="E2471" s="116"/>
      <c r="F2471" s="108"/>
      <c r="G2471" s="117"/>
      <c r="H2471" s="117"/>
      <c r="I2471" s="111"/>
    </row>
    <row r="2472" spans="3:9" ht="16.5" customHeight="1" x14ac:dyDescent="0.25">
      <c r="C2472" s="222" t="s">
        <v>1998</v>
      </c>
      <c r="D2472" s="217" t="s">
        <v>1999</v>
      </c>
      <c r="E2472" s="168">
        <f>+E2473+E2494+E2498+E2511+E2519+E2523+E2529+E2534+E2538+E2548+E2554+E2558+E2562+E2567+E2572+E2585+E2590</f>
        <v>100956195000</v>
      </c>
      <c r="F2472" s="113">
        <f>+F2473+F2494+F2499+F2512+F2520+F2524+F2530+F2535+F2539+F2549+F2555+F2559+F2563+F2568+F2573+F2585+F2590</f>
        <v>48382336051</v>
      </c>
      <c r="G2472" s="114">
        <f t="shared" ref="G2472:G2492" si="156">+F2472/E2472*100</f>
        <v>47.924088314738881</v>
      </c>
      <c r="H2472" s="114">
        <f>(H2473+H2494+H2498+H2511+H2519+H2523+H2529+H2534+H2538+H254+H2548+H2554+H2558+H2562+H2567+H2572+H2585+H2590)/17</f>
        <v>64.673202614379093</v>
      </c>
      <c r="I2472" s="111"/>
    </row>
    <row r="2473" spans="3:9" s="115" customFormat="1" ht="16.5" hidden="1" customHeight="1" x14ac:dyDescent="0.2">
      <c r="C2473" s="222"/>
      <c r="D2473" s="431" t="s">
        <v>82</v>
      </c>
      <c r="E2473" s="432">
        <f>E2474+E2476+E2478+E2480+E2482+E2484+E2488+E2491</f>
        <v>18736858500</v>
      </c>
      <c r="F2473" s="433">
        <f>F2474+F2476+F2478+F2480+F2482+F2484+F2488+F2491</f>
        <v>11440431000</v>
      </c>
      <c r="G2473" s="434">
        <f t="shared" si="156"/>
        <v>61.058426630056474</v>
      </c>
      <c r="H2473" s="434">
        <f>(H2474+H2476+H2478+H2480+H2482+H2484+H2488+H2491)/8</f>
        <v>66.875</v>
      </c>
      <c r="I2473" s="121"/>
    </row>
    <row r="2474" spans="3:9" s="115" customFormat="1" ht="16.5" hidden="1" customHeight="1" x14ac:dyDescent="0.2">
      <c r="C2474" s="222"/>
      <c r="D2474" s="431" t="s">
        <v>227</v>
      </c>
      <c r="E2474" s="392">
        <v>6480000000</v>
      </c>
      <c r="F2474" s="433">
        <f>F2475</f>
        <v>4792500000</v>
      </c>
      <c r="G2474" s="434">
        <f t="shared" si="156"/>
        <v>73.958333333333343</v>
      </c>
      <c r="H2474" s="434">
        <f>+H2475</f>
        <v>80</v>
      </c>
      <c r="I2474" s="121"/>
    </row>
    <row r="2475" spans="3:9" ht="16.5" hidden="1" customHeight="1" x14ac:dyDescent="0.2">
      <c r="C2475" s="226"/>
      <c r="D2475" s="404" t="s">
        <v>2000</v>
      </c>
      <c r="E2475" s="395">
        <v>6480000000</v>
      </c>
      <c r="F2475" s="403">
        <v>4792500000</v>
      </c>
      <c r="G2475" s="436">
        <f t="shared" si="156"/>
        <v>73.958333333333343</v>
      </c>
      <c r="H2475" s="436">
        <v>80</v>
      </c>
      <c r="I2475" s="111"/>
    </row>
    <row r="2476" spans="3:9" s="115" customFormat="1" ht="16.5" hidden="1" customHeight="1" x14ac:dyDescent="0.2">
      <c r="C2476" s="222"/>
      <c r="D2476" s="431" t="s">
        <v>693</v>
      </c>
      <c r="E2476" s="392">
        <v>403107840</v>
      </c>
      <c r="F2476" s="433">
        <f>F2477</f>
        <v>322486000</v>
      </c>
      <c r="G2476" s="434">
        <f t="shared" si="156"/>
        <v>79.999932524259506</v>
      </c>
      <c r="H2476" s="434">
        <f>+H2477</f>
        <v>85</v>
      </c>
      <c r="I2476" s="121"/>
    </row>
    <row r="2477" spans="3:9" ht="16.5" hidden="1" customHeight="1" x14ac:dyDescent="0.2">
      <c r="C2477" s="226"/>
      <c r="D2477" s="404" t="s">
        <v>2001</v>
      </c>
      <c r="E2477" s="395">
        <v>403107840</v>
      </c>
      <c r="F2477" s="403">
        <v>322486000</v>
      </c>
      <c r="G2477" s="436">
        <f t="shared" si="156"/>
        <v>79.999932524259506</v>
      </c>
      <c r="H2477" s="436">
        <v>85</v>
      </c>
      <c r="I2477" s="111"/>
    </row>
    <row r="2478" spans="3:9" s="115" customFormat="1" ht="16.5" hidden="1" customHeight="1" x14ac:dyDescent="0.2">
      <c r="C2478" s="222"/>
      <c r="D2478" s="431" t="s">
        <v>177</v>
      </c>
      <c r="E2478" s="392">
        <v>3000000000</v>
      </c>
      <c r="F2478" s="433">
        <f>F2479</f>
        <v>2400000000</v>
      </c>
      <c r="G2478" s="434">
        <f t="shared" si="156"/>
        <v>80</v>
      </c>
      <c r="H2478" s="434">
        <f>+H2479</f>
        <v>85</v>
      </c>
      <c r="I2478" s="121"/>
    </row>
    <row r="2479" spans="3:9" ht="16.5" hidden="1" customHeight="1" x14ac:dyDescent="0.2">
      <c r="C2479" s="226"/>
      <c r="D2479" s="404" t="s">
        <v>2002</v>
      </c>
      <c r="E2479" s="395">
        <v>3000000000</v>
      </c>
      <c r="F2479" s="403">
        <v>2400000000</v>
      </c>
      <c r="G2479" s="436">
        <f t="shared" si="156"/>
        <v>80</v>
      </c>
      <c r="H2479" s="436">
        <v>85</v>
      </c>
      <c r="I2479" s="111"/>
    </row>
    <row r="2480" spans="3:9" s="115" customFormat="1" ht="16.5" hidden="1" customHeight="1" x14ac:dyDescent="0.2">
      <c r="C2480" s="222"/>
      <c r="D2480" s="431" t="s">
        <v>2003</v>
      </c>
      <c r="E2480" s="392">
        <f>E2481</f>
        <v>2372950000</v>
      </c>
      <c r="F2480" s="433">
        <f>F2481</f>
        <v>0</v>
      </c>
      <c r="G2480" s="434">
        <f t="shared" si="156"/>
        <v>0</v>
      </c>
      <c r="H2480" s="434"/>
      <c r="I2480" s="121"/>
    </row>
    <row r="2481" spans="3:9" ht="16.5" hidden="1" customHeight="1" x14ac:dyDescent="0.2">
      <c r="C2481" s="226"/>
      <c r="D2481" s="404" t="s">
        <v>2004</v>
      </c>
      <c r="E2481" s="395">
        <v>2372950000</v>
      </c>
      <c r="F2481" s="403">
        <v>0</v>
      </c>
      <c r="G2481" s="436">
        <f t="shared" si="156"/>
        <v>0</v>
      </c>
      <c r="H2481" s="436">
        <v>0</v>
      </c>
      <c r="I2481" s="111"/>
    </row>
    <row r="2482" spans="3:9" s="115" customFormat="1" ht="16.5" hidden="1" customHeight="1" x14ac:dyDescent="0.2">
      <c r="C2482" s="222"/>
      <c r="D2482" s="431" t="s">
        <v>2005</v>
      </c>
      <c r="E2482" s="392">
        <f>E2483</f>
        <v>500000000</v>
      </c>
      <c r="F2482" s="433">
        <f>F2483</f>
        <v>167880000</v>
      </c>
      <c r="G2482" s="434">
        <f t="shared" si="156"/>
        <v>33.576000000000001</v>
      </c>
      <c r="H2482" s="434">
        <f>+H2483</f>
        <v>60</v>
      </c>
      <c r="I2482" s="121"/>
    </row>
    <row r="2483" spans="3:9" ht="35.25" hidden="1" customHeight="1" x14ac:dyDescent="0.2">
      <c r="C2483" s="226"/>
      <c r="D2483" s="437" t="s">
        <v>2006</v>
      </c>
      <c r="E2483" s="395">
        <v>500000000</v>
      </c>
      <c r="F2483" s="403">
        <v>167880000</v>
      </c>
      <c r="G2483" s="436">
        <f t="shared" si="156"/>
        <v>33.576000000000001</v>
      </c>
      <c r="H2483" s="436">
        <v>60</v>
      </c>
      <c r="I2483" s="111"/>
    </row>
    <row r="2484" spans="3:9" s="115" customFormat="1" ht="16.5" hidden="1" customHeight="1" x14ac:dyDescent="0.2">
      <c r="C2484" s="222"/>
      <c r="D2484" s="431" t="s">
        <v>680</v>
      </c>
      <c r="E2484" s="392">
        <f>E2485+E2486+E2487</f>
        <v>4377105660</v>
      </c>
      <c r="F2484" s="433">
        <f>F2485+F2486+F2487</f>
        <v>2874115000</v>
      </c>
      <c r="G2484" s="434">
        <f t="shared" si="156"/>
        <v>65.662454216378237</v>
      </c>
      <c r="H2484" s="434">
        <f>SUM(H2485:H2487)/3</f>
        <v>70</v>
      </c>
      <c r="I2484" s="121"/>
    </row>
    <row r="2485" spans="3:9" ht="35.25" hidden="1" customHeight="1" x14ac:dyDescent="0.2">
      <c r="C2485" s="226"/>
      <c r="D2485" s="404" t="s">
        <v>2007</v>
      </c>
      <c r="E2485" s="395">
        <v>1896305000</v>
      </c>
      <c r="F2485" s="403">
        <v>1896305000</v>
      </c>
      <c r="G2485" s="436">
        <f t="shared" si="156"/>
        <v>100</v>
      </c>
      <c r="H2485" s="436">
        <v>100</v>
      </c>
      <c r="I2485" s="111"/>
    </row>
    <row r="2486" spans="3:9" ht="16.5" hidden="1" customHeight="1" x14ac:dyDescent="0.2">
      <c r="C2486" s="226"/>
      <c r="D2486" s="404" t="s">
        <v>2008</v>
      </c>
      <c r="E2486" s="395">
        <v>980800660</v>
      </c>
      <c r="F2486" s="403">
        <v>480000000</v>
      </c>
      <c r="G2486" s="436">
        <f t="shared" si="156"/>
        <v>48.939608176854207</v>
      </c>
      <c r="H2486" s="436">
        <v>60</v>
      </c>
      <c r="I2486" s="111"/>
    </row>
    <row r="2487" spans="3:9" ht="16.5" hidden="1" customHeight="1" x14ac:dyDescent="0.2">
      <c r="C2487" s="226"/>
      <c r="D2487" s="404" t="s">
        <v>2009</v>
      </c>
      <c r="E2487" s="395">
        <v>1500000000</v>
      </c>
      <c r="F2487" s="403">
        <v>497810000</v>
      </c>
      <c r="G2487" s="436">
        <f t="shared" si="156"/>
        <v>33.187333333333335</v>
      </c>
      <c r="H2487" s="436">
        <v>50</v>
      </c>
      <c r="I2487" s="111"/>
    </row>
    <row r="2488" spans="3:9" s="115" customFormat="1" ht="16.5" hidden="1" customHeight="1" x14ac:dyDescent="0.2">
      <c r="C2488" s="222"/>
      <c r="D2488" s="431" t="s">
        <v>2010</v>
      </c>
      <c r="E2488" s="392">
        <f>E2489+E2490</f>
        <v>603695000</v>
      </c>
      <c r="F2488" s="433">
        <f>F2489+F2490</f>
        <v>198450000</v>
      </c>
      <c r="G2488" s="434">
        <f t="shared" si="156"/>
        <v>32.872559819113953</v>
      </c>
      <c r="H2488" s="434">
        <f>SUM(H2489:H2490)/2</f>
        <v>75</v>
      </c>
      <c r="I2488" s="121"/>
    </row>
    <row r="2489" spans="3:9" ht="16.5" hidden="1" customHeight="1" x14ac:dyDescent="0.2">
      <c r="C2489" s="226"/>
      <c r="D2489" s="404" t="s">
        <v>979</v>
      </c>
      <c r="E2489" s="395">
        <v>500000000</v>
      </c>
      <c r="F2489" s="403">
        <v>167370000</v>
      </c>
      <c r="G2489" s="436">
        <f t="shared" si="156"/>
        <v>33.473999999999997</v>
      </c>
      <c r="H2489" s="436">
        <v>70</v>
      </c>
      <c r="I2489" s="111"/>
    </row>
    <row r="2490" spans="3:9" ht="16.5" hidden="1" customHeight="1" x14ac:dyDescent="0.2">
      <c r="C2490" s="226"/>
      <c r="D2490" s="404" t="s">
        <v>2011</v>
      </c>
      <c r="E2490" s="395">
        <v>103695000</v>
      </c>
      <c r="F2490" s="403">
        <v>31080000</v>
      </c>
      <c r="G2490" s="436">
        <f t="shared" si="156"/>
        <v>29.972515550412265</v>
      </c>
      <c r="H2490" s="436">
        <v>80</v>
      </c>
      <c r="I2490" s="111"/>
    </row>
    <row r="2491" spans="3:9" s="115" customFormat="1" ht="16.5" hidden="1" customHeight="1" x14ac:dyDescent="0.2">
      <c r="C2491" s="222"/>
      <c r="D2491" s="431" t="s">
        <v>1371</v>
      </c>
      <c r="E2491" s="392">
        <v>1000000000</v>
      </c>
      <c r="F2491" s="433">
        <v>685000000</v>
      </c>
      <c r="G2491" s="434">
        <f t="shared" si="156"/>
        <v>68.5</v>
      </c>
      <c r="H2491" s="434">
        <f>+H2492</f>
        <v>80</v>
      </c>
      <c r="I2491" s="121"/>
    </row>
    <row r="2492" spans="3:9" ht="16.5" hidden="1" customHeight="1" x14ac:dyDescent="0.2">
      <c r="C2492" s="226"/>
      <c r="D2492" s="404" t="s">
        <v>2012</v>
      </c>
      <c r="E2492" s="395">
        <v>1000000000</v>
      </c>
      <c r="F2492" s="403">
        <v>685000000</v>
      </c>
      <c r="G2492" s="436">
        <f t="shared" si="156"/>
        <v>68.5</v>
      </c>
      <c r="H2492" s="436">
        <v>80</v>
      </c>
      <c r="I2492" s="111"/>
    </row>
    <row r="2493" spans="3:9" ht="16.5" hidden="1" customHeight="1" x14ac:dyDescent="0.2">
      <c r="C2493" s="226"/>
      <c r="D2493" s="119"/>
      <c r="E2493" s="395"/>
      <c r="F2493" s="108"/>
      <c r="G2493" s="436"/>
      <c r="H2493" s="117"/>
      <c r="I2493" s="111"/>
    </row>
    <row r="2494" spans="3:9" s="115" customFormat="1" ht="16.5" hidden="1" customHeight="1" x14ac:dyDescent="0.2">
      <c r="C2494" s="222"/>
      <c r="D2494" s="431" t="s">
        <v>2013</v>
      </c>
      <c r="E2494" s="392">
        <v>11550000000</v>
      </c>
      <c r="F2494" s="433">
        <v>6750000000</v>
      </c>
      <c r="G2494" s="434">
        <f>+F2494/E2494*100</f>
        <v>58.441558441558442</v>
      </c>
      <c r="H2494" s="434">
        <f>+H2495</f>
        <v>60</v>
      </c>
      <c r="I2494" s="435"/>
    </row>
    <row r="2495" spans="3:9" s="115" customFormat="1" ht="16.5" hidden="1" customHeight="1" x14ac:dyDescent="0.2">
      <c r="C2495" s="222"/>
      <c r="D2495" s="431" t="s">
        <v>693</v>
      </c>
      <c r="E2495" s="392">
        <v>11550000000</v>
      </c>
      <c r="F2495" s="438">
        <v>6750000000</v>
      </c>
      <c r="G2495" s="434">
        <f>+F2495/E2495*100</f>
        <v>58.441558441558442</v>
      </c>
      <c r="H2495" s="434">
        <f>+H2496</f>
        <v>60</v>
      </c>
      <c r="I2495" s="435"/>
    </row>
    <row r="2496" spans="3:9" ht="16.5" hidden="1" customHeight="1" x14ac:dyDescent="0.2">
      <c r="C2496" s="226"/>
      <c r="D2496" s="404" t="s">
        <v>2014</v>
      </c>
      <c r="E2496" s="395">
        <v>11550000000</v>
      </c>
      <c r="F2496" s="403">
        <v>6750000000</v>
      </c>
      <c r="G2496" s="436">
        <f>+F2496/E2496*100</f>
        <v>58.441558441558442</v>
      </c>
      <c r="H2496" s="436">
        <v>60</v>
      </c>
      <c r="I2496" s="439"/>
    </row>
    <row r="2497" spans="3:9" ht="16.5" hidden="1" customHeight="1" x14ac:dyDescent="0.2">
      <c r="C2497" s="226"/>
      <c r="D2497" s="404"/>
      <c r="E2497" s="395"/>
      <c r="F2497" s="403"/>
      <c r="G2497" s="436"/>
      <c r="H2497" s="436"/>
      <c r="I2497" s="439"/>
    </row>
    <row r="2498" spans="3:9" s="115" customFormat="1" ht="16.5" hidden="1" customHeight="1" x14ac:dyDescent="0.2">
      <c r="C2498" s="222"/>
      <c r="D2498" s="431" t="s">
        <v>150</v>
      </c>
      <c r="E2498" s="392">
        <f>E2499+E2504+E2506+E2508</f>
        <v>12605903250</v>
      </c>
      <c r="F2498" s="433">
        <v>7747910306</v>
      </c>
      <c r="G2498" s="434">
        <f t="shared" ref="G2498:G2509" si="157">+F2498/E2498*100</f>
        <v>61.462555695880027</v>
      </c>
      <c r="H2498" s="434">
        <f>(H2499+H2504+H2506+H2508)/4</f>
        <v>68.125</v>
      </c>
      <c r="I2498" s="435"/>
    </row>
    <row r="2499" spans="3:9" s="115" customFormat="1" ht="16.5" hidden="1" customHeight="1" x14ac:dyDescent="0.2">
      <c r="C2499" s="222"/>
      <c r="D2499" s="431" t="s">
        <v>166</v>
      </c>
      <c r="E2499" s="392">
        <f>SUM(E2500:E2503)</f>
        <v>10566153250</v>
      </c>
      <c r="F2499" s="433">
        <v>6679702306</v>
      </c>
      <c r="G2499" s="434">
        <f t="shared" si="157"/>
        <v>63.217919974802562</v>
      </c>
      <c r="H2499" s="434">
        <f>SUM(H2500:H2501)/2</f>
        <v>72.5</v>
      </c>
      <c r="I2499" s="435"/>
    </row>
    <row r="2500" spans="3:9" ht="16.5" hidden="1" customHeight="1" x14ac:dyDescent="0.2">
      <c r="C2500" s="226"/>
      <c r="D2500" s="404" t="s">
        <v>2015</v>
      </c>
      <c r="E2500" s="395">
        <v>1800000000</v>
      </c>
      <c r="F2500" s="403">
        <v>796425056</v>
      </c>
      <c r="G2500" s="436">
        <f t="shared" si="157"/>
        <v>44.245836444444443</v>
      </c>
      <c r="H2500" s="436">
        <v>60</v>
      </c>
      <c r="I2500" s="439"/>
    </row>
    <row r="2501" spans="3:9" ht="16.5" hidden="1" customHeight="1" x14ac:dyDescent="0.2">
      <c r="C2501" s="226"/>
      <c r="D2501" s="404" t="s">
        <v>2016</v>
      </c>
      <c r="E2501" s="395">
        <v>4658076625</v>
      </c>
      <c r="F2501" s="403">
        <v>3746547000</v>
      </c>
      <c r="G2501" s="436">
        <f t="shared" si="157"/>
        <v>80.431201579901014</v>
      </c>
      <c r="H2501" s="436">
        <v>85</v>
      </c>
      <c r="I2501" s="439"/>
    </row>
    <row r="2502" spans="3:9" ht="18.75" hidden="1" customHeight="1" x14ac:dyDescent="0.2">
      <c r="C2502" s="226"/>
      <c r="D2502" s="404" t="s">
        <v>2017</v>
      </c>
      <c r="E2502" s="395">
        <v>3758076625</v>
      </c>
      <c r="F2502" s="403">
        <v>1797580250</v>
      </c>
      <c r="G2502" s="436">
        <f t="shared" si="157"/>
        <v>47.832453389637848</v>
      </c>
      <c r="H2502" s="436">
        <v>60</v>
      </c>
      <c r="I2502" s="439"/>
    </row>
    <row r="2503" spans="3:9" ht="18.75" hidden="1" customHeight="1" x14ac:dyDescent="0.2">
      <c r="C2503" s="226"/>
      <c r="D2503" s="404" t="s">
        <v>2018</v>
      </c>
      <c r="E2503" s="395">
        <v>350000000</v>
      </c>
      <c r="F2503" s="440">
        <v>339150000</v>
      </c>
      <c r="G2503" s="436">
        <f t="shared" si="157"/>
        <v>96.899999999999991</v>
      </c>
      <c r="H2503" s="365">
        <v>100</v>
      </c>
      <c r="I2503" s="439"/>
    </row>
    <row r="2504" spans="3:9" s="115" customFormat="1" ht="16.5" hidden="1" customHeight="1" x14ac:dyDescent="0.2">
      <c r="C2504" s="222"/>
      <c r="D2504" s="431" t="s">
        <v>166</v>
      </c>
      <c r="E2504" s="392">
        <v>906750000</v>
      </c>
      <c r="F2504" s="441">
        <v>282358000</v>
      </c>
      <c r="G2504" s="434">
        <f t="shared" si="157"/>
        <v>31.139564378274052</v>
      </c>
      <c r="H2504" s="331">
        <f>+H2505</f>
        <v>50</v>
      </c>
      <c r="I2504" s="435"/>
    </row>
    <row r="2505" spans="3:9" ht="16.5" hidden="1" customHeight="1" x14ac:dyDescent="0.2">
      <c r="C2505" s="226"/>
      <c r="D2505" s="404" t="s">
        <v>2019</v>
      </c>
      <c r="E2505" s="395">
        <v>906750000</v>
      </c>
      <c r="F2505" s="440">
        <v>282358000</v>
      </c>
      <c r="G2505" s="436">
        <f t="shared" si="157"/>
        <v>31.139564378274052</v>
      </c>
      <c r="H2505" s="365">
        <v>50</v>
      </c>
      <c r="I2505" s="439"/>
    </row>
    <row r="2506" spans="3:9" s="115" customFormat="1" ht="16.5" hidden="1" customHeight="1" x14ac:dyDescent="0.2">
      <c r="C2506" s="222"/>
      <c r="D2506" s="431" t="s">
        <v>2020</v>
      </c>
      <c r="E2506" s="392">
        <v>535000000</v>
      </c>
      <c r="F2506" s="433">
        <v>198000000</v>
      </c>
      <c r="G2506" s="434">
        <f t="shared" si="157"/>
        <v>37.009345794392523</v>
      </c>
      <c r="H2506" s="434">
        <f>+H2507</f>
        <v>50</v>
      </c>
      <c r="I2506" s="435"/>
    </row>
    <row r="2507" spans="3:9" ht="16.5" hidden="1" customHeight="1" x14ac:dyDescent="0.2">
      <c r="C2507" s="226"/>
      <c r="D2507" s="404" t="s">
        <v>2021</v>
      </c>
      <c r="E2507" s="395">
        <v>535000000</v>
      </c>
      <c r="F2507" s="403">
        <v>198000000</v>
      </c>
      <c r="G2507" s="436">
        <f t="shared" si="157"/>
        <v>37.009345794392523</v>
      </c>
      <c r="H2507" s="436">
        <v>50</v>
      </c>
      <c r="I2507" s="439"/>
    </row>
    <row r="2508" spans="3:9" s="115" customFormat="1" ht="29.25" hidden="1" customHeight="1" x14ac:dyDescent="0.2">
      <c r="C2508" s="222"/>
      <c r="D2508" s="443" t="s">
        <v>2022</v>
      </c>
      <c r="E2508" s="392">
        <v>598000000</v>
      </c>
      <c r="F2508" s="433">
        <v>587850000</v>
      </c>
      <c r="G2508" s="434">
        <f t="shared" si="157"/>
        <v>98.302675585284277</v>
      </c>
      <c r="H2508" s="434">
        <f>+H2509</f>
        <v>100</v>
      </c>
      <c r="I2508" s="435"/>
    </row>
    <row r="2509" spans="3:9" s="163" customFormat="1" ht="21.75" hidden="1" customHeight="1" x14ac:dyDescent="0.25">
      <c r="C2509" s="234"/>
      <c r="D2509" s="32" t="s">
        <v>2023</v>
      </c>
      <c r="E2509" s="602">
        <v>598000000</v>
      </c>
      <c r="F2509" s="603">
        <v>587850000</v>
      </c>
      <c r="G2509" s="854">
        <f t="shared" si="157"/>
        <v>98.302675585284277</v>
      </c>
      <c r="H2509" s="854">
        <v>100</v>
      </c>
      <c r="I2509" s="32"/>
    </row>
    <row r="2510" spans="3:9" ht="16.5" hidden="1" customHeight="1" x14ac:dyDescent="0.2">
      <c r="C2510" s="226"/>
      <c r="D2510" s="404"/>
      <c r="E2510" s="395"/>
      <c r="F2510" s="403"/>
      <c r="G2510" s="436"/>
      <c r="H2510" s="436"/>
      <c r="I2510" s="439"/>
    </row>
    <row r="2511" spans="3:9" s="115" customFormat="1" ht="16.5" hidden="1" customHeight="1" x14ac:dyDescent="0.2">
      <c r="C2511" s="222"/>
      <c r="D2511" s="431" t="s">
        <v>1736</v>
      </c>
      <c r="E2511" s="392">
        <f>E2512+E2514+E2516</f>
        <v>2537526000</v>
      </c>
      <c r="F2511" s="433">
        <v>709045024</v>
      </c>
      <c r="G2511" s="434">
        <f t="shared" ref="G2511:G2517" si="158">+F2511/E2511*100</f>
        <v>27.94237473822928</v>
      </c>
      <c r="H2511" s="434">
        <f>(H2512+H2514+H2516)/3</f>
        <v>66.666666666666671</v>
      </c>
      <c r="I2511" s="435"/>
    </row>
    <row r="2512" spans="3:9" s="115" customFormat="1" ht="16.5" hidden="1" customHeight="1" x14ac:dyDescent="0.2">
      <c r="C2512" s="390"/>
      <c r="D2512" s="431" t="s">
        <v>182</v>
      </c>
      <c r="E2512" s="392">
        <v>77984000</v>
      </c>
      <c r="F2512" s="441">
        <v>77984000</v>
      </c>
      <c r="G2512" s="434">
        <f t="shared" si="158"/>
        <v>100</v>
      </c>
      <c r="H2512" s="331">
        <f>+H2513</f>
        <v>100</v>
      </c>
      <c r="I2512" s="435"/>
    </row>
    <row r="2513" spans="3:9" ht="16.5" hidden="1" customHeight="1" x14ac:dyDescent="0.2">
      <c r="C2513" s="226"/>
      <c r="D2513" s="404" t="s">
        <v>2024</v>
      </c>
      <c r="E2513" s="395">
        <f>E2512</f>
        <v>77984000</v>
      </c>
      <c r="F2513" s="440">
        <v>77984000</v>
      </c>
      <c r="G2513" s="436">
        <f t="shared" si="158"/>
        <v>100</v>
      </c>
      <c r="H2513" s="365">
        <v>100</v>
      </c>
      <c r="I2513" s="439"/>
    </row>
    <row r="2514" spans="3:9" s="115" customFormat="1" ht="16.5" hidden="1" customHeight="1" x14ac:dyDescent="0.2">
      <c r="C2514" s="222"/>
      <c r="D2514" s="431" t="s">
        <v>2025</v>
      </c>
      <c r="E2514" s="392">
        <v>1952142000</v>
      </c>
      <c r="F2514" s="441">
        <v>346477704</v>
      </c>
      <c r="G2514" s="434">
        <f t="shared" si="158"/>
        <v>17.748591239776616</v>
      </c>
      <c r="H2514" s="331">
        <f>+H2515</f>
        <v>40</v>
      </c>
      <c r="I2514" s="435"/>
    </row>
    <row r="2515" spans="3:9" ht="22.5" hidden="1" customHeight="1" x14ac:dyDescent="0.2">
      <c r="C2515" s="226"/>
      <c r="D2515" s="404" t="s">
        <v>2026</v>
      </c>
      <c r="E2515" s="395">
        <f>E2514</f>
        <v>1952142000</v>
      </c>
      <c r="F2515" s="403">
        <v>346477704</v>
      </c>
      <c r="G2515" s="436">
        <f t="shared" si="158"/>
        <v>17.748591239776616</v>
      </c>
      <c r="H2515" s="436">
        <v>40</v>
      </c>
      <c r="I2515" s="439"/>
    </row>
    <row r="2516" spans="3:9" s="115" customFormat="1" ht="16.5" hidden="1" customHeight="1" x14ac:dyDescent="0.2">
      <c r="C2516" s="222"/>
      <c r="D2516" s="431" t="s">
        <v>1578</v>
      </c>
      <c r="E2516" s="392">
        <v>507400000</v>
      </c>
      <c r="F2516" s="433">
        <v>284583320</v>
      </c>
      <c r="G2516" s="434">
        <f t="shared" si="158"/>
        <v>56.086582577847857</v>
      </c>
      <c r="H2516" s="434">
        <f>+H2517</f>
        <v>60</v>
      </c>
      <c r="I2516" s="435"/>
    </row>
    <row r="2517" spans="3:9" ht="16.5" hidden="1" customHeight="1" x14ac:dyDescent="0.2">
      <c r="C2517" s="226"/>
      <c r="D2517" s="404" t="s">
        <v>2027</v>
      </c>
      <c r="E2517" s="395">
        <f>E2516</f>
        <v>507400000</v>
      </c>
      <c r="F2517" s="403">
        <v>284583320</v>
      </c>
      <c r="G2517" s="436">
        <f t="shared" si="158"/>
        <v>56.086582577847857</v>
      </c>
      <c r="H2517" s="436">
        <v>60</v>
      </c>
      <c r="I2517" s="439"/>
    </row>
    <row r="2518" spans="3:9" ht="16.5" hidden="1" customHeight="1" x14ac:dyDescent="0.2">
      <c r="C2518" s="226"/>
      <c r="D2518" s="404"/>
      <c r="E2518" s="394"/>
      <c r="F2518" s="403"/>
      <c r="G2518" s="436"/>
      <c r="H2518" s="436"/>
      <c r="I2518" s="439"/>
    </row>
    <row r="2519" spans="3:9" s="115" customFormat="1" ht="16.5" hidden="1" customHeight="1" x14ac:dyDescent="0.2">
      <c r="C2519" s="222"/>
      <c r="D2519" s="431" t="s">
        <v>2028</v>
      </c>
      <c r="E2519" s="392">
        <f>E2520</f>
        <v>16191239000</v>
      </c>
      <c r="F2519" s="433">
        <f>+F2520</f>
        <v>7054419200</v>
      </c>
      <c r="G2519" s="434">
        <f>+F2519/E2519*100</f>
        <v>43.569359948302903</v>
      </c>
      <c r="H2519" s="434">
        <f>+H2520</f>
        <v>70</v>
      </c>
      <c r="I2519" s="435"/>
    </row>
    <row r="2520" spans="3:9" s="115" customFormat="1" ht="16.5" hidden="1" customHeight="1" x14ac:dyDescent="0.2">
      <c r="C2520" s="222"/>
      <c r="D2520" s="431" t="s">
        <v>729</v>
      </c>
      <c r="E2520" s="392">
        <v>16191239000</v>
      </c>
      <c r="F2520" s="441">
        <v>7054419200</v>
      </c>
      <c r="G2520" s="434">
        <f>+F2520/E2520*100</f>
        <v>43.569359948302903</v>
      </c>
      <c r="H2520" s="331">
        <f>+H2521</f>
        <v>70</v>
      </c>
      <c r="I2520" s="435"/>
    </row>
    <row r="2521" spans="3:9" ht="16.5" hidden="1" customHeight="1" x14ac:dyDescent="0.2">
      <c r="C2521" s="226"/>
      <c r="D2521" s="404" t="s">
        <v>2029</v>
      </c>
      <c r="E2521" s="395">
        <f>E2520</f>
        <v>16191239000</v>
      </c>
      <c r="F2521" s="440">
        <v>7054419200</v>
      </c>
      <c r="G2521" s="436">
        <f>+F2521/E2521*100</f>
        <v>43.569359948302903</v>
      </c>
      <c r="H2521" s="365">
        <v>70</v>
      </c>
      <c r="I2521" s="439"/>
    </row>
    <row r="2522" spans="3:9" ht="16.5" hidden="1" customHeight="1" x14ac:dyDescent="0.2">
      <c r="C2522" s="226"/>
      <c r="D2522" s="404"/>
      <c r="E2522" s="395"/>
      <c r="F2522" s="440"/>
      <c r="G2522" s="436"/>
      <c r="H2522" s="365"/>
      <c r="I2522" s="439"/>
    </row>
    <row r="2523" spans="3:9" s="115" customFormat="1" ht="16.5" hidden="1" customHeight="1" x14ac:dyDescent="0.2">
      <c r="C2523" s="222"/>
      <c r="D2523" s="431" t="s">
        <v>1933</v>
      </c>
      <c r="E2523" s="392">
        <f>E2525+E2526+E2527</f>
        <v>4000000000</v>
      </c>
      <c r="F2523" s="441"/>
      <c r="G2523" s="434">
        <f>+F2523/E2523*100</f>
        <v>0</v>
      </c>
      <c r="H2523" s="331"/>
      <c r="I2523" s="435"/>
    </row>
    <row r="2524" spans="3:9" s="115" customFormat="1" ht="16.5" hidden="1" customHeight="1" x14ac:dyDescent="0.2">
      <c r="C2524" s="222"/>
      <c r="D2524" s="431" t="s">
        <v>1288</v>
      </c>
      <c r="E2524" s="392">
        <f>E2523</f>
        <v>4000000000</v>
      </c>
      <c r="F2524" s="433">
        <v>0</v>
      </c>
      <c r="G2524" s="434">
        <f>+F2524/E2524*100</f>
        <v>0</v>
      </c>
      <c r="H2524" s="434"/>
      <c r="I2524" s="435"/>
    </row>
    <row r="2525" spans="3:9" ht="16.5" hidden="1" customHeight="1" x14ac:dyDescent="0.2">
      <c r="C2525" s="226"/>
      <c r="D2525" s="404" t="s">
        <v>2030</v>
      </c>
      <c r="E2525" s="395">
        <v>1000000000</v>
      </c>
      <c r="F2525" s="403">
        <v>0</v>
      </c>
      <c r="G2525" s="436">
        <f>+F2525/E2525*100</f>
        <v>0</v>
      </c>
      <c r="H2525" s="436">
        <v>0</v>
      </c>
      <c r="I2525" s="439"/>
    </row>
    <row r="2526" spans="3:9" ht="16.5" hidden="1" customHeight="1" x14ac:dyDescent="0.2">
      <c r="C2526" s="226"/>
      <c r="D2526" s="404" t="s">
        <v>2031</v>
      </c>
      <c r="E2526" s="395">
        <v>2000000000</v>
      </c>
      <c r="F2526" s="403">
        <v>0</v>
      </c>
      <c r="G2526" s="436">
        <f>+F2526/E2526*100</f>
        <v>0</v>
      </c>
      <c r="H2526" s="436">
        <v>0</v>
      </c>
      <c r="I2526" s="439"/>
    </row>
    <row r="2527" spans="3:9" ht="16.5" hidden="1" customHeight="1" x14ac:dyDescent="0.2">
      <c r="C2527" s="226"/>
      <c r="D2527" s="404" t="s">
        <v>2032</v>
      </c>
      <c r="E2527" s="395">
        <v>1000000000</v>
      </c>
      <c r="F2527" s="403">
        <v>0</v>
      </c>
      <c r="G2527" s="436">
        <f>+F2527/E2527*100</f>
        <v>0</v>
      </c>
      <c r="H2527" s="436">
        <v>0</v>
      </c>
      <c r="I2527" s="439"/>
    </row>
    <row r="2528" spans="3:9" ht="16.5" hidden="1" customHeight="1" x14ac:dyDescent="0.2">
      <c r="C2528" s="226"/>
      <c r="D2528" s="404"/>
      <c r="E2528" s="395"/>
      <c r="F2528" s="403"/>
      <c r="G2528" s="436"/>
      <c r="H2528" s="436"/>
      <c r="I2528" s="439"/>
    </row>
    <row r="2529" spans="3:9" s="115" customFormat="1" ht="16.5" hidden="1" customHeight="1" x14ac:dyDescent="0.2">
      <c r="C2529" s="222"/>
      <c r="D2529" s="431" t="s">
        <v>630</v>
      </c>
      <c r="E2529" s="392">
        <f>E2530</f>
        <v>1269123900</v>
      </c>
      <c r="F2529" s="441">
        <v>325150000</v>
      </c>
      <c r="G2529" s="434">
        <f>+F2529/E2529*100</f>
        <v>25.620035994909557</v>
      </c>
      <c r="H2529" s="331">
        <f>+H2530</f>
        <v>40</v>
      </c>
      <c r="I2529" s="435"/>
    </row>
    <row r="2530" spans="3:9" s="115" customFormat="1" ht="16.5" hidden="1" customHeight="1" x14ac:dyDescent="0.2">
      <c r="C2530" s="222"/>
      <c r="D2530" s="431" t="s">
        <v>954</v>
      </c>
      <c r="E2530" s="392">
        <f>E2531+E2532</f>
        <v>1269123900</v>
      </c>
      <c r="F2530" s="441">
        <v>162575000</v>
      </c>
      <c r="G2530" s="434">
        <f>+F2530/E2530*100</f>
        <v>12.810017997454779</v>
      </c>
      <c r="H2530" s="331">
        <f>+H2531</f>
        <v>40</v>
      </c>
      <c r="I2530" s="435"/>
    </row>
    <row r="2531" spans="3:9" ht="16.5" hidden="1" customHeight="1" x14ac:dyDescent="0.2">
      <c r="C2531" s="389"/>
      <c r="D2531" s="404" t="s">
        <v>2033</v>
      </c>
      <c r="E2531" s="395">
        <v>519123900</v>
      </c>
      <c r="F2531" s="440">
        <v>70050000</v>
      </c>
      <c r="G2531" s="436">
        <f>+F2531/E2531*100</f>
        <v>13.493888453218972</v>
      </c>
      <c r="H2531" s="365">
        <v>40</v>
      </c>
      <c r="I2531" s="439"/>
    </row>
    <row r="2532" spans="3:9" ht="16.5" hidden="1" customHeight="1" x14ac:dyDescent="0.2">
      <c r="C2532" s="226"/>
      <c r="D2532" s="404" t="s">
        <v>2034</v>
      </c>
      <c r="E2532" s="395">
        <v>750000000</v>
      </c>
      <c r="F2532" s="403">
        <v>92525000</v>
      </c>
      <c r="G2532" s="436">
        <f>+F2532/E2532*100</f>
        <v>12.336666666666666</v>
      </c>
      <c r="H2532" s="365">
        <v>40</v>
      </c>
      <c r="I2532" s="439"/>
    </row>
    <row r="2533" spans="3:9" ht="16.5" hidden="1" customHeight="1" x14ac:dyDescent="0.2">
      <c r="C2533" s="226"/>
      <c r="D2533" s="404"/>
      <c r="E2533" s="395"/>
      <c r="F2533" s="403"/>
      <c r="G2533" s="436"/>
      <c r="H2533" s="365"/>
      <c r="I2533" s="439"/>
    </row>
    <row r="2534" spans="3:9" s="115" customFormat="1" ht="16.5" hidden="1" customHeight="1" x14ac:dyDescent="0.2">
      <c r="C2534" s="222"/>
      <c r="D2534" s="431" t="s">
        <v>2035</v>
      </c>
      <c r="E2534" s="392">
        <f>E2535</f>
        <v>750000000</v>
      </c>
      <c r="F2534" s="433">
        <v>0</v>
      </c>
      <c r="G2534" s="434">
        <f>+F2534/E2534*100</f>
        <v>0</v>
      </c>
      <c r="H2534" s="434"/>
      <c r="I2534" s="435"/>
    </row>
    <row r="2535" spans="3:9" s="115" customFormat="1" ht="16.5" hidden="1" customHeight="1" x14ac:dyDescent="0.2">
      <c r="C2535" s="222"/>
      <c r="D2535" s="431" t="s">
        <v>1470</v>
      </c>
      <c r="E2535" s="392">
        <f>E2536</f>
        <v>750000000</v>
      </c>
      <c r="F2535" s="433">
        <v>0</v>
      </c>
      <c r="G2535" s="434">
        <f>+F2535/E2535*100</f>
        <v>0</v>
      </c>
      <c r="H2535" s="434"/>
      <c r="I2535" s="435"/>
    </row>
    <row r="2536" spans="3:9" ht="18.75" hidden="1" customHeight="1" x14ac:dyDescent="0.2">
      <c r="C2536" s="226"/>
      <c r="D2536" s="404" t="s">
        <v>2036</v>
      </c>
      <c r="E2536" s="395">
        <v>750000000</v>
      </c>
      <c r="F2536" s="403">
        <v>0</v>
      </c>
      <c r="G2536" s="436">
        <f>+F2536/E2536*100</f>
        <v>0</v>
      </c>
      <c r="H2536" s="436">
        <v>0</v>
      </c>
      <c r="I2536" s="439"/>
    </row>
    <row r="2537" spans="3:9" ht="16.5" hidden="1" customHeight="1" x14ac:dyDescent="0.2">
      <c r="C2537" s="226"/>
      <c r="D2537" s="404"/>
      <c r="E2537" s="394"/>
      <c r="F2537" s="403"/>
      <c r="G2537" s="436"/>
      <c r="H2537" s="436"/>
      <c r="I2537" s="439"/>
    </row>
    <row r="2538" spans="3:9" s="115" customFormat="1" ht="16.5" hidden="1" customHeight="1" x14ac:dyDescent="0.2">
      <c r="C2538" s="390"/>
      <c r="D2538" s="431" t="s">
        <v>2037</v>
      </c>
      <c r="E2538" s="392">
        <f>E2539+E2541+E2544</f>
        <v>3472770000</v>
      </c>
      <c r="F2538" s="441">
        <v>1763210529</v>
      </c>
      <c r="G2538" s="434">
        <f t="shared" ref="G2538:G2545" si="159">+F2538/E2538*100</f>
        <v>50.77245337295588</v>
      </c>
      <c r="H2538" s="331">
        <f>(H2539+H2541+H2544)/3</f>
        <v>100</v>
      </c>
      <c r="I2538" s="435"/>
    </row>
    <row r="2539" spans="3:9" s="115" customFormat="1" ht="16.5" hidden="1" customHeight="1" x14ac:dyDescent="0.2">
      <c r="C2539" s="222"/>
      <c r="D2539" s="431" t="s">
        <v>2038</v>
      </c>
      <c r="E2539" s="392">
        <f>E2540</f>
        <v>236385000</v>
      </c>
      <c r="F2539" s="441">
        <v>235635645</v>
      </c>
      <c r="G2539" s="434">
        <f t="shared" si="159"/>
        <v>99.682993844787106</v>
      </c>
      <c r="H2539" s="331">
        <f>+H2540</f>
        <v>100</v>
      </c>
      <c r="I2539" s="435"/>
    </row>
    <row r="2540" spans="3:9" ht="16.5" hidden="1" customHeight="1" x14ac:dyDescent="0.2">
      <c r="C2540" s="226"/>
      <c r="D2540" s="404" t="s">
        <v>2039</v>
      </c>
      <c r="E2540" s="395">
        <v>236385000</v>
      </c>
      <c r="F2540" s="440">
        <v>235635645</v>
      </c>
      <c r="G2540" s="436">
        <f t="shared" si="159"/>
        <v>99.682993844787106</v>
      </c>
      <c r="H2540" s="365">
        <v>100</v>
      </c>
      <c r="I2540" s="439"/>
    </row>
    <row r="2541" spans="3:9" s="115" customFormat="1" ht="18.75" hidden="1" customHeight="1" x14ac:dyDescent="0.2">
      <c r="C2541" s="222"/>
      <c r="D2541" s="431" t="s">
        <v>744</v>
      </c>
      <c r="E2541" s="392">
        <f>E2542+E2543</f>
        <v>1736385000</v>
      </c>
      <c r="F2541" s="433">
        <v>733941170</v>
      </c>
      <c r="G2541" s="434">
        <f t="shared" si="159"/>
        <v>42.268343138186523</v>
      </c>
      <c r="H2541" s="434">
        <f>+H2542</f>
        <v>100</v>
      </c>
      <c r="I2541" s="435"/>
    </row>
    <row r="2542" spans="3:9" ht="16.5" hidden="1" customHeight="1" x14ac:dyDescent="0.2">
      <c r="C2542" s="226"/>
      <c r="D2542" s="404" t="s">
        <v>2040</v>
      </c>
      <c r="E2542" s="395">
        <v>737750000</v>
      </c>
      <c r="F2542" s="403">
        <v>733941170</v>
      </c>
      <c r="G2542" s="436">
        <f t="shared" si="159"/>
        <v>99.483723483564887</v>
      </c>
      <c r="H2542" s="436">
        <v>100</v>
      </c>
      <c r="I2542" s="439"/>
    </row>
    <row r="2543" spans="3:9" ht="16.5" hidden="1" customHeight="1" x14ac:dyDescent="0.2">
      <c r="C2543" s="389"/>
      <c r="D2543" s="404" t="s">
        <v>2041</v>
      </c>
      <c r="E2543" s="395">
        <v>998635000</v>
      </c>
      <c r="F2543" s="403">
        <v>0</v>
      </c>
      <c r="G2543" s="436">
        <f t="shared" si="159"/>
        <v>0</v>
      </c>
      <c r="H2543" s="365"/>
      <c r="I2543" s="439"/>
    </row>
    <row r="2544" spans="3:9" s="115" customFormat="1" ht="16.5" hidden="1" customHeight="1" x14ac:dyDescent="0.2">
      <c r="C2544" s="222"/>
      <c r="D2544" s="431" t="s">
        <v>2042</v>
      </c>
      <c r="E2544" s="392">
        <f>E2545+E2546</f>
        <v>1500000000</v>
      </c>
      <c r="F2544" s="441">
        <v>793633714</v>
      </c>
      <c r="G2544" s="434">
        <f t="shared" si="159"/>
        <v>52.908914266666663</v>
      </c>
      <c r="H2544" s="331">
        <f>+H2545</f>
        <v>100</v>
      </c>
      <c r="I2544" s="435"/>
    </row>
    <row r="2545" spans="3:9" ht="16.5" hidden="1" customHeight="1" x14ac:dyDescent="0.2">
      <c r="C2545" s="389"/>
      <c r="D2545" s="404" t="s">
        <v>2043</v>
      </c>
      <c r="E2545" s="395">
        <v>800000000</v>
      </c>
      <c r="F2545" s="440">
        <v>793633714</v>
      </c>
      <c r="G2545" s="436">
        <f t="shared" si="159"/>
        <v>99.204214250000007</v>
      </c>
      <c r="H2545" s="365">
        <v>100</v>
      </c>
      <c r="I2545" s="439"/>
    </row>
    <row r="2546" spans="3:9" ht="18.75" hidden="1" customHeight="1" x14ac:dyDescent="0.2">
      <c r="C2546" s="226"/>
      <c r="D2546" s="404" t="s">
        <v>2044</v>
      </c>
      <c r="E2546" s="395">
        <v>700000000</v>
      </c>
      <c r="F2546" s="403">
        <v>0</v>
      </c>
      <c r="G2546" s="436"/>
      <c r="H2546" s="436">
        <v>0</v>
      </c>
      <c r="I2546" s="439"/>
    </row>
    <row r="2547" spans="3:9" ht="8.25" hidden="1" customHeight="1" x14ac:dyDescent="0.2">
      <c r="C2547" s="226"/>
      <c r="D2547" s="404"/>
      <c r="E2547" s="395"/>
      <c r="F2547" s="403"/>
      <c r="G2547" s="436"/>
      <c r="H2547" s="436"/>
      <c r="I2547" s="439"/>
    </row>
    <row r="2548" spans="3:9" s="115" customFormat="1" ht="16.5" hidden="1" customHeight="1" x14ac:dyDescent="0.2">
      <c r="C2548" s="390"/>
      <c r="D2548" s="431" t="s">
        <v>1111</v>
      </c>
      <c r="E2548" s="392">
        <f>E2549+E2551</f>
        <v>2584601700</v>
      </c>
      <c r="F2548" s="433">
        <v>2555757200</v>
      </c>
      <c r="G2548" s="434">
        <f>+F2548/E2548*100</f>
        <v>98.883986650631712</v>
      </c>
      <c r="H2548" s="434">
        <f>(H2549+H2551)/2</f>
        <v>100</v>
      </c>
      <c r="I2548" s="435"/>
    </row>
    <row r="2549" spans="3:9" s="115" customFormat="1" ht="16.5" hidden="1" customHeight="1" x14ac:dyDescent="0.2">
      <c r="C2549" s="222"/>
      <c r="D2549" s="431" t="s">
        <v>2045</v>
      </c>
      <c r="E2549" s="392">
        <f>E2550</f>
        <v>1636000000</v>
      </c>
      <c r="F2549" s="441">
        <v>1632900000</v>
      </c>
      <c r="G2549" s="434">
        <f>+F2549/E2549*100</f>
        <v>99.810513447432754</v>
      </c>
      <c r="H2549" s="331">
        <f>+H2550</f>
        <v>100</v>
      </c>
      <c r="I2549" s="435"/>
    </row>
    <row r="2550" spans="3:9" ht="16.5" hidden="1" customHeight="1" x14ac:dyDescent="0.2">
      <c r="C2550" s="389"/>
      <c r="D2550" s="404" t="s">
        <v>2046</v>
      </c>
      <c r="E2550" s="395">
        <v>1636000000</v>
      </c>
      <c r="F2550" s="442">
        <v>1632900000</v>
      </c>
      <c r="G2550" s="436">
        <f>+F2550/E2550*100</f>
        <v>99.810513447432754</v>
      </c>
      <c r="H2550" s="365">
        <v>100</v>
      </c>
      <c r="I2550" s="439"/>
    </row>
    <row r="2551" spans="3:9" s="115" customFormat="1" ht="25.5" hidden="1" customHeight="1" x14ac:dyDescent="0.2">
      <c r="C2551" s="222"/>
      <c r="D2551" s="443" t="s">
        <v>2047</v>
      </c>
      <c r="E2551" s="392">
        <f>+E2552</f>
        <v>948601700</v>
      </c>
      <c r="F2551" s="441">
        <v>922857200</v>
      </c>
      <c r="G2551" s="434">
        <f>+F2551/E2551*100</f>
        <v>97.286057994625139</v>
      </c>
      <c r="H2551" s="331">
        <f>+H2552</f>
        <v>100</v>
      </c>
      <c r="I2551" s="435"/>
    </row>
    <row r="2552" spans="3:9" ht="25.5" hidden="1" customHeight="1" x14ac:dyDescent="0.2">
      <c r="C2552" s="226"/>
      <c r="D2552" s="437" t="s">
        <v>2048</v>
      </c>
      <c r="E2552" s="395">
        <v>948601700</v>
      </c>
      <c r="F2552" s="403">
        <v>922857200</v>
      </c>
      <c r="G2552" s="436">
        <f>+F2552/E2552*100</f>
        <v>97.286057994625139</v>
      </c>
      <c r="H2552" s="436">
        <v>100</v>
      </c>
      <c r="I2552" s="439"/>
    </row>
    <row r="2553" spans="3:9" ht="12" hidden="1" customHeight="1" x14ac:dyDescent="0.2">
      <c r="C2553" s="226"/>
      <c r="D2553" s="404"/>
      <c r="E2553" s="394"/>
      <c r="F2553" s="403"/>
      <c r="G2553" s="436"/>
      <c r="H2553" s="436"/>
      <c r="I2553" s="439"/>
    </row>
    <row r="2554" spans="3:9" s="115" customFormat="1" ht="16.5" hidden="1" customHeight="1" x14ac:dyDescent="0.2">
      <c r="C2554" s="222"/>
      <c r="D2554" s="431" t="s">
        <v>1075</v>
      </c>
      <c r="E2554" s="392">
        <f>E2555</f>
        <v>750000000</v>
      </c>
      <c r="F2554" s="441">
        <v>229400000</v>
      </c>
      <c r="G2554" s="434">
        <f>+F2554/E2554*100</f>
        <v>30.586666666666666</v>
      </c>
      <c r="H2554" s="331">
        <f>+H2555</f>
        <v>50</v>
      </c>
      <c r="I2554" s="435"/>
    </row>
    <row r="2555" spans="3:9" s="115" customFormat="1" ht="16.5" hidden="1" customHeight="1" x14ac:dyDescent="0.2">
      <c r="C2555" s="222"/>
      <c r="D2555" s="431" t="s">
        <v>750</v>
      </c>
      <c r="E2555" s="392">
        <f>E2556</f>
        <v>750000000</v>
      </c>
      <c r="F2555" s="441">
        <v>229400000</v>
      </c>
      <c r="G2555" s="434">
        <f>+F2555/E2555*100</f>
        <v>30.586666666666666</v>
      </c>
      <c r="H2555" s="331">
        <f>+H2556</f>
        <v>50</v>
      </c>
      <c r="I2555" s="435"/>
    </row>
    <row r="2556" spans="3:9" ht="16.5" hidden="1" customHeight="1" x14ac:dyDescent="0.2">
      <c r="C2556" s="226"/>
      <c r="D2556" s="404" t="s">
        <v>2049</v>
      </c>
      <c r="E2556" s="395">
        <v>750000000</v>
      </c>
      <c r="F2556" s="403">
        <v>229400000</v>
      </c>
      <c r="G2556" s="436">
        <f>+F2556/E2556*100</f>
        <v>30.586666666666666</v>
      </c>
      <c r="H2556" s="436">
        <v>50</v>
      </c>
      <c r="I2556" s="439"/>
    </row>
    <row r="2557" spans="3:9" ht="16.5" hidden="1" customHeight="1" x14ac:dyDescent="0.2">
      <c r="C2557" s="226"/>
      <c r="D2557" s="404"/>
      <c r="E2557" s="395"/>
      <c r="F2557" s="403"/>
      <c r="G2557" s="436"/>
      <c r="H2557" s="436"/>
      <c r="I2557" s="439"/>
    </row>
    <row r="2558" spans="3:9" s="115" customFormat="1" ht="16.5" hidden="1" customHeight="1" x14ac:dyDescent="0.2">
      <c r="C2558" s="222"/>
      <c r="D2558" s="431" t="s">
        <v>2050</v>
      </c>
      <c r="E2558" s="392">
        <f>E2559</f>
        <v>750000000</v>
      </c>
      <c r="F2558" s="433">
        <v>0</v>
      </c>
      <c r="G2558" s="434">
        <f>+F2558/E2558*100</f>
        <v>0</v>
      </c>
      <c r="H2558" s="434"/>
      <c r="I2558" s="435"/>
    </row>
    <row r="2559" spans="3:9" s="115" customFormat="1" ht="16.5" hidden="1" customHeight="1" x14ac:dyDescent="0.2">
      <c r="C2559" s="222"/>
      <c r="D2559" s="431" t="s">
        <v>217</v>
      </c>
      <c r="E2559" s="392">
        <f>E2560</f>
        <v>750000000</v>
      </c>
      <c r="F2559" s="441">
        <v>0</v>
      </c>
      <c r="G2559" s="434">
        <f>+F2559/E2559*100</f>
        <v>0</v>
      </c>
      <c r="H2559" s="331"/>
      <c r="I2559" s="435"/>
    </row>
    <row r="2560" spans="3:9" ht="16.5" hidden="1" customHeight="1" x14ac:dyDescent="0.2">
      <c r="C2560" s="226"/>
      <c r="D2560" s="404" t="s">
        <v>2051</v>
      </c>
      <c r="E2560" s="395">
        <v>750000000</v>
      </c>
      <c r="F2560" s="440">
        <v>0</v>
      </c>
      <c r="G2560" s="436">
        <f>+F2560/E2560*100</f>
        <v>0</v>
      </c>
      <c r="H2560" s="365">
        <v>0</v>
      </c>
      <c r="I2560" s="439"/>
    </row>
    <row r="2561" spans="3:9" ht="16.5" hidden="1" customHeight="1" x14ac:dyDescent="0.2">
      <c r="C2561" s="226"/>
      <c r="D2561" s="404"/>
      <c r="E2561" s="395"/>
      <c r="F2561" s="440"/>
      <c r="G2561" s="436"/>
      <c r="H2561" s="365"/>
      <c r="I2561" s="439"/>
    </row>
    <row r="2562" spans="3:9" s="115" customFormat="1" ht="16.5" hidden="1" customHeight="1" x14ac:dyDescent="0.2">
      <c r="C2562" s="222"/>
      <c r="D2562" s="431" t="s">
        <v>2052</v>
      </c>
      <c r="E2562" s="392">
        <f>E2563</f>
        <v>4000000000</v>
      </c>
      <c r="F2562" s="433">
        <v>3967750000</v>
      </c>
      <c r="G2562" s="434">
        <f>+F2562/E2562*100</f>
        <v>99.193750000000009</v>
      </c>
      <c r="H2562" s="434">
        <f>+H2563</f>
        <v>100</v>
      </c>
      <c r="I2562" s="435"/>
    </row>
    <row r="2563" spans="3:9" s="115" customFormat="1" ht="16.5" hidden="1" customHeight="1" x14ac:dyDescent="0.2">
      <c r="C2563" s="222"/>
      <c r="D2563" s="431" t="s">
        <v>2053</v>
      </c>
      <c r="E2563" s="392">
        <f>E2564+E2565</f>
        <v>4000000000</v>
      </c>
      <c r="F2563" s="441">
        <v>3967750000</v>
      </c>
      <c r="G2563" s="434">
        <f>+F2563/E2563*100</f>
        <v>99.193750000000009</v>
      </c>
      <c r="H2563" s="331">
        <f>+H2564</f>
        <v>100</v>
      </c>
      <c r="I2563" s="435"/>
    </row>
    <row r="2564" spans="3:9" ht="16.5" hidden="1" customHeight="1" x14ac:dyDescent="0.2">
      <c r="C2564" s="226"/>
      <c r="D2564" s="404" t="s">
        <v>2054</v>
      </c>
      <c r="E2564" s="395">
        <v>2868500000</v>
      </c>
      <c r="F2564" s="440">
        <v>2836250000</v>
      </c>
      <c r="G2564" s="436">
        <f>+F2564/E2564*100</f>
        <v>98.875719016907794</v>
      </c>
      <c r="H2564" s="365">
        <v>100</v>
      </c>
      <c r="I2564" s="439"/>
    </row>
    <row r="2565" spans="3:9" ht="16.5" hidden="1" customHeight="1" x14ac:dyDescent="0.2">
      <c r="C2565" s="226"/>
      <c r="D2565" s="404" t="s">
        <v>2055</v>
      </c>
      <c r="E2565" s="395">
        <v>1131500000</v>
      </c>
      <c r="F2565" s="440">
        <v>1131500000</v>
      </c>
      <c r="G2565" s="436">
        <f>+F2565/E2565*100</f>
        <v>100</v>
      </c>
      <c r="H2565" s="365">
        <v>100</v>
      </c>
      <c r="I2565" s="439"/>
    </row>
    <row r="2566" spans="3:9" ht="16.5" hidden="1" customHeight="1" x14ac:dyDescent="0.2">
      <c r="C2566" s="226"/>
      <c r="D2566" s="404"/>
      <c r="E2566" s="395"/>
      <c r="F2566" s="440"/>
      <c r="G2566" s="436"/>
      <c r="H2566" s="365"/>
      <c r="I2566" s="439"/>
    </row>
    <row r="2567" spans="3:9" s="115" customFormat="1" ht="16.5" hidden="1" customHeight="1" x14ac:dyDescent="0.2">
      <c r="C2567" s="222"/>
      <c r="D2567" s="431" t="s">
        <v>1446</v>
      </c>
      <c r="E2567" s="392">
        <f>E2568</f>
        <v>5550000000</v>
      </c>
      <c r="F2567" s="433">
        <v>3000000000</v>
      </c>
      <c r="G2567" s="434">
        <f>+F2567/E2567*100</f>
        <v>54.054054054054056</v>
      </c>
      <c r="H2567" s="434">
        <f>+H2568</f>
        <v>50</v>
      </c>
      <c r="I2567" s="435"/>
    </row>
    <row r="2568" spans="3:9" s="115" customFormat="1" ht="16.5" hidden="1" customHeight="1" x14ac:dyDescent="0.2">
      <c r="C2568" s="222"/>
      <c r="D2568" s="431" t="s">
        <v>2056</v>
      </c>
      <c r="E2568" s="392">
        <f>E2569+E2570</f>
        <v>5550000000</v>
      </c>
      <c r="F2568" s="433">
        <v>3000000000</v>
      </c>
      <c r="G2568" s="434">
        <f>+F2568/E2568*100</f>
        <v>54.054054054054056</v>
      </c>
      <c r="H2568" s="434">
        <f>(H2569+H2570)/2</f>
        <v>50</v>
      </c>
      <c r="I2568" s="435"/>
    </row>
    <row r="2569" spans="3:9" ht="16.5" hidden="1" customHeight="1" x14ac:dyDescent="0.2">
      <c r="C2569" s="226"/>
      <c r="D2569" s="404" t="s">
        <v>2057</v>
      </c>
      <c r="E2569" s="395">
        <v>2550000000</v>
      </c>
      <c r="F2569" s="440">
        <v>0</v>
      </c>
      <c r="G2569" s="436">
        <f>+F2569/E2569*100</f>
        <v>0</v>
      </c>
      <c r="H2569" s="365">
        <v>0</v>
      </c>
      <c r="I2569" s="439"/>
    </row>
    <row r="2570" spans="3:9" ht="16.5" hidden="1" customHeight="1" x14ac:dyDescent="0.2">
      <c r="C2570" s="226"/>
      <c r="D2570" s="404" t="s">
        <v>2058</v>
      </c>
      <c r="E2570" s="395">
        <v>3000000000</v>
      </c>
      <c r="F2570" s="440">
        <v>3000000000</v>
      </c>
      <c r="G2570" s="436">
        <f>+F2570/E2570*100</f>
        <v>100</v>
      </c>
      <c r="H2570" s="365">
        <v>100</v>
      </c>
      <c r="I2570" s="439"/>
    </row>
    <row r="2571" spans="3:9" ht="16.5" hidden="1" customHeight="1" x14ac:dyDescent="0.2">
      <c r="C2571" s="226"/>
      <c r="D2571" s="404"/>
      <c r="E2571" s="395"/>
      <c r="F2571" s="440"/>
      <c r="G2571" s="436"/>
      <c r="H2571" s="365"/>
      <c r="I2571" s="439"/>
    </row>
    <row r="2572" spans="3:9" s="115" customFormat="1" ht="16.5" hidden="1" customHeight="1" x14ac:dyDescent="0.2">
      <c r="C2572" s="222"/>
      <c r="D2572" s="431" t="s">
        <v>2059</v>
      </c>
      <c r="E2572" s="392">
        <f>E2573+E2575+E2577</f>
        <v>9189048750</v>
      </c>
      <c r="F2572" s="433">
        <v>5747837900</v>
      </c>
      <c r="G2572" s="434">
        <f t="shared" ref="G2572:G2580" si="160">+F2572/E2572*100</f>
        <v>62.550956648260247</v>
      </c>
      <c r="H2572" s="434">
        <f>(H2573+H2575+H2577)/3</f>
        <v>77.777777777777786</v>
      </c>
      <c r="I2572" s="435"/>
    </row>
    <row r="2573" spans="3:9" s="115" customFormat="1" ht="16.5" hidden="1" customHeight="1" x14ac:dyDescent="0.2">
      <c r="C2573" s="222"/>
      <c r="D2573" s="431" t="s">
        <v>486</v>
      </c>
      <c r="E2573" s="392">
        <f>E2574</f>
        <v>1089488750</v>
      </c>
      <c r="F2573" s="441">
        <v>794000000</v>
      </c>
      <c r="G2573" s="434">
        <f t="shared" si="160"/>
        <v>72.87821925650907</v>
      </c>
      <c r="H2573" s="331">
        <f>+H2574</f>
        <v>80</v>
      </c>
      <c r="I2573" s="435"/>
    </row>
    <row r="2574" spans="3:9" ht="16.5" hidden="1" customHeight="1" x14ac:dyDescent="0.2">
      <c r="C2574" s="226"/>
      <c r="D2574" s="404" t="s">
        <v>2060</v>
      </c>
      <c r="E2574" s="395">
        <v>1089488750</v>
      </c>
      <c r="F2574" s="440">
        <v>794000000</v>
      </c>
      <c r="G2574" s="436">
        <f t="shared" si="160"/>
        <v>72.87821925650907</v>
      </c>
      <c r="H2574" s="365">
        <v>80</v>
      </c>
      <c r="I2574" s="439"/>
    </row>
    <row r="2575" spans="3:9" s="115" customFormat="1" ht="16.5" hidden="1" customHeight="1" x14ac:dyDescent="0.2">
      <c r="C2575" s="222"/>
      <c r="D2575" s="431" t="s">
        <v>750</v>
      </c>
      <c r="E2575" s="392">
        <f>E2576</f>
        <v>2000000000</v>
      </c>
      <c r="F2575" s="433">
        <v>1826884000</v>
      </c>
      <c r="G2575" s="434">
        <f t="shared" si="160"/>
        <v>91.344200000000001</v>
      </c>
      <c r="H2575" s="434">
        <f>+H2576</f>
        <v>95</v>
      </c>
      <c r="I2575" s="435"/>
    </row>
    <row r="2576" spans="3:9" ht="16.5" hidden="1" customHeight="1" x14ac:dyDescent="0.2">
      <c r="C2576" s="226"/>
      <c r="D2576" s="437" t="s">
        <v>2061</v>
      </c>
      <c r="E2576" s="395">
        <v>2000000000</v>
      </c>
      <c r="F2576" s="440">
        <v>1826884000</v>
      </c>
      <c r="G2576" s="436">
        <f t="shared" si="160"/>
        <v>91.344200000000001</v>
      </c>
      <c r="H2576" s="365">
        <v>95</v>
      </c>
      <c r="I2576" s="439"/>
    </row>
    <row r="2577" spans="3:9" s="115" customFormat="1" ht="16.5" hidden="1" customHeight="1" x14ac:dyDescent="0.2">
      <c r="C2577" s="222"/>
      <c r="D2577" s="431" t="s">
        <v>1058</v>
      </c>
      <c r="E2577" s="392">
        <f>E2578+E2579+E2580+E2581+E2582+E2583</f>
        <v>6099560000</v>
      </c>
      <c r="F2577" s="441">
        <v>3126953900</v>
      </c>
      <c r="G2577" s="434">
        <f t="shared" si="160"/>
        <v>51.265237164647935</v>
      </c>
      <c r="H2577" s="331">
        <f>SUM(H2578:H2583)/6</f>
        <v>58.333333333333336</v>
      </c>
      <c r="I2577" s="435"/>
    </row>
    <row r="2578" spans="3:9" ht="16.5" hidden="1" customHeight="1" x14ac:dyDescent="0.2">
      <c r="C2578" s="226"/>
      <c r="D2578" s="404" t="s">
        <v>2062</v>
      </c>
      <c r="E2578" s="395">
        <v>650000000</v>
      </c>
      <c r="F2578" s="440">
        <v>181812000</v>
      </c>
      <c r="G2578" s="436">
        <f t="shared" si="160"/>
        <v>27.971076923076922</v>
      </c>
      <c r="H2578" s="365">
        <v>40</v>
      </c>
      <c r="I2578" s="439"/>
    </row>
    <row r="2579" spans="3:9" ht="16.5" hidden="1" customHeight="1" x14ac:dyDescent="0.2">
      <c r="C2579" s="226"/>
      <c r="D2579" s="404" t="s">
        <v>2063</v>
      </c>
      <c r="E2579" s="395">
        <v>950000000</v>
      </c>
      <c r="F2579" s="403">
        <v>613817900</v>
      </c>
      <c r="G2579" s="436">
        <f t="shared" si="160"/>
        <v>64.612410526315784</v>
      </c>
      <c r="H2579" s="436">
        <v>75</v>
      </c>
      <c r="I2579" s="439"/>
    </row>
    <row r="2580" spans="3:9" ht="16.5" hidden="1" customHeight="1" x14ac:dyDescent="0.2">
      <c r="C2580" s="226"/>
      <c r="D2580" s="404" t="s">
        <v>2064</v>
      </c>
      <c r="E2580" s="395">
        <v>1200000000</v>
      </c>
      <c r="F2580" s="403">
        <v>755943000</v>
      </c>
      <c r="G2580" s="436">
        <f t="shared" si="160"/>
        <v>62.995250000000006</v>
      </c>
      <c r="H2580" s="436">
        <v>70</v>
      </c>
      <c r="I2580" s="439"/>
    </row>
    <row r="2581" spans="3:9" ht="18.75" hidden="1" customHeight="1" x14ac:dyDescent="0.2">
      <c r="C2581" s="226"/>
      <c r="D2581" s="404" t="s">
        <v>2063</v>
      </c>
      <c r="E2581" s="395">
        <v>700000000</v>
      </c>
      <c r="F2581" s="440">
        <v>0</v>
      </c>
      <c r="G2581" s="436"/>
      <c r="H2581" s="365"/>
      <c r="I2581" s="439"/>
    </row>
    <row r="2582" spans="3:9" ht="18.75" hidden="1" customHeight="1" x14ac:dyDescent="0.2">
      <c r="C2582" s="226"/>
      <c r="D2582" s="404" t="s">
        <v>2065</v>
      </c>
      <c r="E2582" s="395">
        <v>1599560000</v>
      </c>
      <c r="F2582" s="440">
        <v>645676000</v>
      </c>
      <c r="G2582" s="436">
        <f>+F2582/E2582*100</f>
        <v>40.365850608917455</v>
      </c>
      <c r="H2582" s="365">
        <v>70</v>
      </c>
      <c r="I2582" s="439"/>
    </row>
    <row r="2583" spans="3:9" ht="18.75" hidden="1" customHeight="1" x14ac:dyDescent="0.2">
      <c r="C2583" s="226"/>
      <c r="D2583" s="404" t="s">
        <v>2066</v>
      </c>
      <c r="E2583" s="395">
        <v>1000000000</v>
      </c>
      <c r="F2583" s="403">
        <v>929705000</v>
      </c>
      <c r="G2583" s="436">
        <f>+F2583/E2583*100</f>
        <v>92.970500000000001</v>
      </c>
      <c r="H2583" s="436">
        <v>95</v>
      </c>
      <c r="I2583" s="439"/>
    </row>
    <row r="2584" spans="3:9" ht="16.5" hidden="1" customHeight="1" x14ac:dyDescent="0.2">
      <c r="C2584" s="226"/>
      <c r="D2584" s="404"/>
      <c r="E2584" s="395"/>
      <c r="F2584" s="403"/>
      <c r="G2584" s="436"/>
      <c r="H2584" s="436"/>
      <c r="I2584" s="439"/>
    </row>
    <row r="2585" spans="3:9" s="115" customFormat="1" ht="16.5" hidden="1" customHeight="1" x14ac:dyDescent="0.2">
      <c r="C2585" s="222"/>
      <c r="D2585" s="431" t="s">
        <v>2067</v>
      </c>
      <c r="E2585" s="392">
        <f>+E2586</f>
        <v>5000000000</v>
      </c>
      <c r="F2585" s="441">
        <v>4403930900</v>
      </c>
      <c r="G2585" s="434">
        <f>+F2585/E2585*100</f>
        <v>88.078617999999992</v>
      </c>
      <c r="H2585" s="331">
        <f>+H2586</f>
        <v>50</v>
      </c>
      <c r="I2585" s="435"/>
    </row>
    <row r="2586" spans="3:9" s="115" customFormat="1" ht="16.5" hidden="1" customHeight="1" x14ac:dyDescent="0.2">
      <c r="C2586" s="222"/>
      <c r="D2586" s="431" t="s">
        <v>2068</v>
      </c>
      <c r="E2586" s="392">
        <f>E2587+E2588</f>
        <v>5000000000</v>
      </c>
      <c r="F2586" s="441">
        <v>4403930900</v>
      </c>
      <c r="G2586" s="434">
        <f>+F2586/E2586*100</f>
        <v>88.078617999999992</v>
      </c>
      <c r="H2586" s="331">
        <f>SUM(H2588:H2589)/2</f>
        <v>50</v>
      </c>
      <c r="I2586" s="435"/>
    </row>
    <row r="2587" spans="3:9" ht="16.5" hidden="1" customHeight="1" x14ac:dyDescent="0.2">
      <c r="C2587" s="226"/>
      <c r="D2587" s="404" t="s">
        <v>2069</v>
      </c>
      <c r="E2587" s="395">
        <v>3000000000</v>
      </c>
      <c r="F2587" s="440">
        <v>2479207800</v>
      </c>
      <c r="G2587" s="436">
        <f>+F2587/E2587*100</f>
        <v>82.640259999999998</v>
      </c>
      <c r="H2587" s="365">
        <v>90</v>
      </c>
      <c r="I2587" s="439"/>
    </row>
    <row r="2588" spans="3:9" ht="16.5" hidden="1" customHeight="1" x14ac:dyDescent="0.2">
      <c r="C2588" s="226"/>
      <c r="D2588" s="404" t="s">
        <v>2070</v>
      </c>
      <c r="E2588" s="395">
        <v>2000000000</v>
      </c>
      <c r="F2588" s="403">
        <v>1924723100</v>
      </c>
      <c r="G2588" s="436">
        <f>+F2588/E2588*100</f>
        <v>96.236154999999997</v>
      </c>
      <c r="H2588" s="436">
        <v>100</v>
      </c>
      <c r="I2588" s="439"/>
    </row>
    <row r="2589" spans="3:9" ht="16.5" hidden="1" customHeight="1" x14ac:dyDescent="0.2">
      <c r="C2589" s="226"/>
      <c r="D2589" s="404"/>
      <c r="E2589" s="394"/>
      <c r="F2589" s="403"/>
      <c r="G2589" s="436"/>
      <c r="H2589" s="436"/>
      <c r="I2589" s="439"/>
    </row>
    <row r="2590" spans="3:9" s="115" customFormat="1" ht="16.5" hidden="1" customHeight="1" x14ac:dyDescent="0.2">
      <c r="C2590" s="222"/>
      <c r="D2590" s="431" t="s">
        <v>1111</v>
      </c>
      <c r="E2590" s="392">
        <f>E2591</f>
        <v>2019123900</v>
      </c>
      <c r="F2590" s="441">
        <v>1953608000</v>
      </c>
      <c r="G2590" s="434">
        <f>+F2590/E2590*100</f>
        <v>96.755231315918749</v>
      </c>
      <c r="H2590" s="331">
        <f>+H2591</f>
        <v>100</v>
      </c>
      <c r="I2590" s="435"/>
    </row>
    <row r="2591" spans="3:9" s="115" customFormat="1" ht="16.5" hidden="1" customHeight="1" x14ac:dyDescent="0.2">
      <c r="C2591" s="222"/>
      <c r="D2591" s="431" t="s">
        <v>750</v>
      </c>
      <c r="E2591" s="392">
        <f>E2592</f>
        <v>2019123900</v>
      </c>
      <c r="F2591" s="433">
        <v>1953608000</v>
      </c>
      <c r="G2591" s="434">
        <f>+F2591/E2591*100</f>
        <v>96.755231315918749</v>
      </c>
      <c r="H2591" s="434">
        <f>+H2592</f>
        <v>100</v>
      </c>
      <c r="I2591" s="435"/>
    </row>
    <row r="2592" spans="3:9" ht="16.5" hidden="1" customHeight="1" x14ac:dyDescent="0.2">
      <c r="C2592" s="109"/>
      <c r="D2592" s="404" t="s">
        <v>2071</v>
      </c>
      <c r="E2592" s="395">
        <v>2019123900</v>
      </c>
      <c r="F2592" s="444">
        <v>1953608000</v>
      </c>
      <c r="G2592" s="436">
        <f>+F2592/E2592*100</f>
        <v>96.755231315918749</v>
      </c>
      <c r="H2592" s="365">
        <v>100</v>
      </c>
      <c r="I2592" s="439"/>
    </row>
    <row r="2593" spans="3:9" ht="16.5" hidden="1" customHeight="1" x14ac:dyDescent="0.2">
      <c r="C2593" s="109"/>
      <c r="D2593" s="111"/>
      <c r="E2593" s="107"/>
      <c r="F2593" s="108"/>
      <c r="G2593" s="358"/>
      <c r="H2593" s="117"/>
      <c r="I2593" s="111"/>
    </row>
    <row r="2594" spans="3:9" s="115" customFormat="1" ht="16.5" customHeight="1" x14ac:dyDescent="0.2">
      <c r="C2594" s="159">
        <v>10</v>
      </c>
      <c r="D2594" s="48" t="s">
        <v>2072</v>
      </c>
      <c r="E2594" s="168">
        <f>+E2595+E2617+E2634+E2640+E2644+E2649+E2653+E2659+E2665+E2669+E2675+E2684+E2709+E2723+E2728</f>
        <v>100456545000</v>
      </c>
      <c r="F2594" s="113">
        <f>+F2595+F2617+F2634+F2640+F2644+F2649+F2653+F2659+F2669+F2665+F2675+F2684+F2728</f>
        <v>85239224111</v>
      </c>
      <c r="G2594" s="358">
        <f t="shared" ref="G2594:G2615" si="161">+F2594/E2594*100</f>
        <v>84.851837290442347</v>
      </c>
      <c r="H2594" s="114">
        <f>(H2595+H2617+H2634+H2640+H2644+H2649+H2653+H2659+H2665+H2669+H2675+H2684+H2709+H2723+H2728)/15</f>
        <v>94.244570186214347</v>
      </c>
      <c r="I2594" s="121"/>
    </row>
    <row r="2595" spans="3:9" ht="16.5" hidden="1" customHeight="1" x14ac:dyDescent="0.25">
      <c r="C2595" s="109"/>
      <c r="D2595" s="267" t="s">
        <v>1861</v>
      </c>
      <c r="E2595" s="120">
        <f>E2596+E2599+E2606+E2610+E2612+E2614</f>
        <v>23818760250</v>
      </c>
      <c r="F2595" s="220">
        <f>F2596+F2599+F2606+F2610+F2612+F2614</f>
        <v>18034766500</v>
      </c>
      <c r="G2595" s="114">
        <f t="shared" si="161"/>
        <v>75.716646503463593</v>
      </c>
      <c r="H2595" s="187">
        <f>(H2596+H2599+H2606+H2610+H2612+H2614)/6</f>
        <v>49.951959502458216</v>
      </c>
      <c r="I2595" s="111"/>
    </row>
    <row r="2596" spans="3:9" ht="16.5" hidden="1" customHeight="1" x14ac:dyDescent="0.25">
      <c r="C2596" s="109"/>
      <c r="D2596" s="267" t="s">
        <v>797</v>
      </c>
      <c r="E2596" s="120">
        <v>2273320000</v>
      </c>
      <c r="F2596" s="220">
        <f>SUM(F2597:F2598)</f>
        <v>1116340000</v>
      </c>
      <c r="G2596" s="114">
        <f t="shared" si="161"/>
        <v>49.106153115267539</v>
      </c>
      <c r="H2596" s="187">
        <f>SUM(H2597:H2598)/2</f>
        <v>61.856159378313087</v>
      </c>
      <c r="I2596" s="111"/>
    </row>
    <row r="2597" spans="3:9" ht="16.5" hidden="1" customHeight="1" x14ac:dyDescent="0.25">
      <c r="C2597" s="109"/>
      <c r="D2597" s="268" t="s">
        <v>2073</v>
      </c>
      <c r="E2597" s="107">
        <v>1891000000</v>
      </c>
      <c r="F2597" s="221">
        <v>806400000</v>
      </c>
      <c r="G2597" s="117">
        <f t="shared" si="161"/>
        <v>42.644103648863037</v>
      </c>
      <c r="H2597" s="182">
        <f>+G2597</f>
        <v>42.644103648863037</v>
      </c>
      <c r="I2597" s="111"/>
    </row>
    <row r="2598" spans="3:9" ht="18.75" hidden="1" customHeight="1" x14ac:dyDescent="0.25">
      <c r="C2598" s="109"/>
      <c r="D2598" s="268" t="s">
        <v>2074</v>
      </c>
      <c r="E2598" s="107">
        <v>382320000</v>
      </c>
      <c r="F2598" s="221">
        <v>309940000</v>
      </c>
      <c r="G2598" s="117">
        <f t="shared" si="161"/>
        <v>81.068215107763137</v>
      </c>
      <c r="H2598" s="182">
        <f t="shared" ref="H2598:H2661" si="162">+G2598</f>
        <v>81.068215107763137</v>
      </c>
      <c r="I2598" s="111"/>
    </row>
    <row r="2599" spans="3:9" ht="16.5" hidden="1" customHeight="1" x14ac:dyDescent="0.25">
      <c r="C2599" s="109"/>
      <c r="D2599" s="267" t="s">
        <v>927</v>
      </c>
      <c r="E2599" s="120">
        <f>SUM(E2600:E2605)</f>
        <v>14701883250</v>
      </c>
      <c r="F2599" s="220">
        <f>SUM(F2600:F2605)</f>
        <v>12351730000</v>
      </c>
      <c r="G2599" s="114">
        <f t="shared" si="161"/>
        <v>84.014610849259739</v>
      </c>
      <c r="H2599" s="182">
        <f t="shared" si="162"/>
        <v>84.014610849259739</v>
      </c>
      <c r="I2599" s="111"/>
    </row>
    <row r="2600" spans="3:9" ht="16.5" hidden="1" customHeight="1" x14ac:dyDescent="0.25">
      <c r="C2600" s="109"/>
      <c r="D2600" s="268" t="s">
        <v>2075</v>
      </c>
      <c r="E2600" s="107">
        <v>1188000000</v>
      </c>
      <c r="F2600" s="221">
        <v>648000000</v>
      </c>
      <c r="G2600" s="117">
        <f t="shared" si="161"/>
        <v>54.54545454545454</v>
      </c>
      <c r="H2600" s="182">
        <f t="shared" si="162"/>
        <v>54.54545454545454</v>
      </c>
      <c r="I2600" s="111"/>
    </row>
    <row r="2601" spans="3:9" ht="16.5" hidden="1" customHeight="1" x14ac:dyDescent="0.25">
      <c r="C2601" s="109"/>
      <c r="D2601" s="268" t="s">
        <v>2076</v>
      </c>
      <c r="E2601" s="107">
        <v>3505320000</v>
      </c>
      <c r="F2601" s="221">
        <v>3495870000</v>
      </c>
      <c r="G2601" s="117">
        <f t="shared" si="161"/>
        <v>99.730409777138746</v>
      </c>
      <c r="H2601" s="182">
        <f t="shared" si="162"/>
        <v>99.730409777138746</v>
      </c>
      <c r="I2601" s="111"/>
    </row>
    <row r="2602" spans="3:9" ht="35.25" hidden="1" customHeight="1" x14ac:dyDescent="0.25">
      <c r="C2602" s="109"/>
      <c r="D2602" s="268" t="s">
        <v>2077</v>
      </c>
      <c r="E2602" s="107">
        <v>180897000</v>
      </c>
      <c r="F2602" s="221">
        <v>0</v>
      </c>
      <c r="G2602" s="117">
        <f t="shared" si="161"/>
        <v>0</v>
      </c>
      <c r="H2602" s="182">
        <f t="shared" si="162"/>
        <v>0</v>
      </c>
      <c r="I2602" s="111"/>
    </row>
    <row r="2603" spans="3:9" ht="16.5" hidden="1" customHeight="1" x14ac:dyDescent="0.25">
      <c r="C2603" s="109"/>
      <c r="D2603" s="268" t="s">
        <v>2078</v>
      </c>
      <c r="E2603" s="107">
        <f>585179100+750</f>
        <v>585179850</v>
      </c>
      <c r="F2603" s="221">
        <v>584040000</v>
      </c>
      <c r="G2603" s="117">
        <f t="shared" si="161"/>
        <v>99.805213730445431</v>
      </c>
      <c r="H2603" s="182">
        <f t="shared" si="162"/>
        <v>99.805213730445431</v>
      </c>
      <c r="I2603" s="111"/>
    </row>
    <row r="2604" spans="3:9" ht="18.75" hidden="1" customHeight="1" x14ac:dyDescent="0.25">
      <c r="C2604" s="109"/>
      <c r="D2604" s="268" t="s">
        <v>2079</v>
      </c>
      <c r="E2604" s="107">
        <v>9166800000</v>
      </c>
      <c r="F2604" s="221">
        <v>7548300000</v>
      </c>
      <c r="G2604" s="117">
        <f t="shared" si="161"/>
        <v>82.343893179735574</v>
      </c>
      <c r="H2604" s="182">
        <f t="shared" si="162"/>
        <v>82.343893179735574</v>
      </c>
      <c r="I2604" s="111"/>
    </row>
    <row r="2605" spans="3:9" ht="30" hidden="1" customHeight="1" x14ac:dyDescent="0.25">
      <c r="C2605" s="109"/>
      <c r="D2605" s="268" t="s">
        <v>2080</v>
      </c>
      <c r="E2605" s="107">
        <v>75686400</v>
      </c>
      <c r="F2605" s="221">
        <v>75520000</v>
      </c>
      <c r="G2605" s="117">
        <f t="shared" si="161"/>
        <v>99.780145442245896</v>
      </c>
      <c r="H2605" s="182">
        <f t="shared" si="162"/>
        <v>99.780145442245896</v>
      </c>
      <c r="I2605" s="111"/>
    </row>
    <row r="2606" spans="3:9" ht="16.5" hidden="1" customHeight="1" x14ac:dyDescent="0.25">
      <c r="C2606" s="109"/>
      <c r="D2606" s="267" t="s">
        <v>2081</v>
      </c>
      <c r="E2606" s="120">
        <v>4621357000</v>
      </c>
      <c r="F2606" s="220">
        <f>SUM(F2607:F2609)</f>
        <v>3581820000</v>
      </c>
      <c r="G2606" s="114">
        <f t="shared" si="161"/>
        <v>77.505806195020213</v>
      </c>
      <c r="H2606" s="182">
        <f t="shared" si="162"/>
        <v>77.505806195020213</v>
      </c>
      <c r="I2606" s="111"/>
    </row>
    <row r="2607" spans="3:9" ht="18.75" hidden="1" customHeight="1" x14ac:dyDescent="0.25">
      <c r="C2607" s="109"/>
      <c r="D2607" s="268" t="s">
        <v>2082</v>
      </c>
      <c r="E2607" s="107">
        <v>1427257200</v>
      </c>
      <c r="F2607" s="221">
        <v>469750000</v>
      </c>
      <c r="G2607" s="117">
        <f t="shared" si="161"/>
        <v>32.912778439653344</v>
      </c>
      <c r="H2607" s="182">
        <f t="shared" si="162"/>
        <v>32.912778439653344</v>
      </c>
      <c r="I2607" s="111"/>
    </row>
    <row r="2608" spans="3:9" ht="16.5" hidden="1" customHeight="1" x14ac:dyDescent="0.25">
      <c r="C2608" s="109"/>
      <c r="D2608" s="268" t="s">
        <v>2083</v>
      </c>
      <c r="E2608" s="107">
        <v>2724220000</v>
      </c>
      <c r="F2608" s="221">
        <v>2715270000</v>
      </c>
      <c r="G2608" s="117">
        <f t="shared" si="161"/>
        <v>99.671465593821353</v>
      </c>
      <c r="H2608" s="182">
        <f t="shared" si="162"/>
        <v>99.671465593821353</v>
      </c>
      <c r="I2608" s="111"/>
    </row>
    <row r="2609" spans="3:9" ht="16.5" hidden="1" customHeight="1" x14ac:dyDescent="0.25">
      <c r="C2609" s="109"/>
      <c r="D2609" s="268" t="s">
        <v>2084</v>
      </c>
      <c r="E2609" s="107">
        <v>469879800</v>
      </c>
      <c r="F2609" s="221">
        <v>396800000</v>
      </c>
      <c r="G2609" s="117">
        <f t="shared" si="161"/>
        <v>84.4471288189022</v>
      </c>
      <c r="H2609" s="182">
        <f t="shared" si="162"/>
        <v>84.4471288189022</v>
      </c>
      <c r="I2609" s="111"/>
    </row>
    <row r="2610" spans="3:9" ht="16.5" hidden="1" customHeight="1" x14ac:dyDescent="0.25">
      <c r="C2610" s="109"/>
      <c r="D2610" s="267" t="s">
        <v>916</v>
      </c>
      <c r="E2610" s="120">
        <v>1290200000</v>
      </c>
      <c r="F2610" s="220">
        <f>F2611</f>
        <v>984876500</v>
      </c>
      <c r="G2610" s="114">
        <f t="shared" si="161"/>
        <v>76.335180592156263</v>
      </c>
      <c r="H2610" s="182">
        <f t="shared" si="162"/>
        <v>76.335180592156263</v>
      </c>
      <c r="I2610" s="111"/>
    </row>
    <row r="2611" spans="3:9" ht="16.5" hidden="1" customHeight="1" x14ac:dyDescent="0.25">
      <c r="C2611" s="109"/>
      <c r="D2611" s="268" t="s">
        <v>2084</v>
      </c>
      <c r="E2611" s="107">
        <v>1290200000</v>
      </c>
      <c r="F2611" s="221">
        <v>984876500</v>
      </c>
      <c r="G2611" s="117">
        <f t="shared" si="161"/>
        <v>76.335180592156263</v>
      </c>
      <c r="H2611" s="182">
        <f t="shared" si="162"/>
        <v>76.335180592156263</v>
      </c>
      <c r="I2611" s="111"/>
    </row>
    <row r="2612" spans="3:9" ht="16.5" hidden="1" customHeight="1" x14ac:dyDescent="0.25">
      <c r="C2612" s="109"/>
      <c r="D2612" s="267" t="s">
        <v>2085</v>
      </c>
      <c r="E2612" s="120">
        <v>432000000</v>
      </c>
      <c r="F2612" s="220">
        <f>F2613</f>
        <v>0</v>
      </c>
      <c r="G2612" s="117">
        <f t="shared" si="161"/>
        <v>0</v>
      </c>
      <c r="H2612" s="182">
        <f t="shared" si="162"/>
        <v>0</v>
      </c>
      <c r="I2612" s="111"/>
    </row>
    <row r="2613" spans="3:9" ht="16.5" hidden="1" customHeight="1" x14ac:dyDescent="0.25">
      <c r="C2613" s="109"/>
      <c r="D2613" s="268" t="s">
        <v>2086</v>
      </c>
      <c r="E2613" s="107">
        <v>432000000</v>
      </c>
      <c r="F2613" s="221"/>
      <c r="G2613" s="117">
        <f t="shared" si="161"/>
        <v>0</v>
      </c>
      <c r="H2613" s="182">
        <f t="shared" si="162"/>
        <v>0</v>
      </c>
      <c r="I2613" s="111"/>
    </row>
    <row r="2614" spans="3:9" ht="16.5" hidden="1" customHeight="1" x14ac:dyDescent="0.25">
      <c r="C2614" s="109"/>
      <c r="D2614" s="267" t="s">
        <v>400</v>
      </c>
      <c r="E2614" s="120">
        <v>500000000</v>
      </c>
      <c r="F2614" s="220">
        <f>F2615</f>
        <v>0</v>
      </c>
      <c r="G2614" s="117">
        <f t="shared" si="161"/>
        <v>0</v>
      </c>
      <c r="H2614" s="182">
        <f t="shared" si="162"/>
        <v>0</v>
      </c>
      <c r="I2614" s="111"/>
    </row>
    <row r="2615" spans="3:9" ht="16.5" hidden="1" customHeight="1" x14ac:dyDescent="0.25">
      <c r="C2615" s="109"/>
      <c r="D2615" s="268" t="s">
        <v>2087</v>
      </c>
      <c r="E2615" s="107">
        <v>500000000</v>
      </c>
      <c r="F2615" s="221"/>
      <c r="G2615" s="117">
        <f t="shared" si="161"/>
        <v>0</v>
      </c>
      <c r="H2615" s="182">
        <f t="shared" si="162"/>
        <v>0</v>
      </c>
      <c r="I2615" s="111"/>
    </row>
    <row r="2616" spans="3:9" ht="16.5" hidden="1" customHeight="1" x14ac:dyDescent="0.25">
      <c r="C2616" s="109"/>
      <c r="D2616" s="268"/>
      <c r="E2616" s="107"/>
      <c r="F2616" s="108"/>
      <c r="G2616" s="114"/>
      <c r="H2616" s="182">
        <f t="shared" si="162"/>
        <v>0</v>
      </c>
      <c r="I2616" s="111"/>
    </row>
    <row r="2617" spans="3:9" ht="16.5" hidden="1" customHeight="1" x14ac:dyDescent="0.25">
      <c r="C2617" s="109"/>
      <c r="D2617" s="267" t="s">
        <v>1020</v>
      </c>
      <c r="E2617" s="120">
        <f>E2618+E2620+E2623+E2626+E2628+E2631</f>
        <v>12068481750</v>
      </c>
      <c r="F2617" s="220">
        <f>F2618+F2620+F2623+F2626+F2628+F2631</f>
        <v>10814359484</v>
      </c>
      <c r="G2617" s="114">
        <f t="shared" ref="G2617:G2632" si="163">+F2617/E2617*100</f>
        <v>89.60828468750843</v>
      </c>
      <c r="H2617" s="182">
        <f t="shared" si="162"/>
        <v>89.60828468750843</v>
      </c>
      <c r="I2617" s="111"/>
    </row>
    <row r="2618" spans="3:9" ht="16.5" hidden="1" customHeight="1" x14ac:dyDescent="0.25">
      <c r="C2618" s="109"/>
      <c r="D2618" s="267" t="s">
        <v>156</v>
      </c>
      <c r="E2618" s="120">
        <v>1530849300</v>
      </c>
      <c r="F2618" s="220">
        <f>F2619</f>
        <v>1491677984</v>
      </c>
      <c r="G2618" s="114">
        <f t="shared" si="163"/>
        <v>97.441203650810053</v>
      </c>
      <c r="H2618" s="182">
        <f t="shared" si="162"/>
        <v>97.441203650810053</v>
      </c>
      <c r="I2618" s="111"/>
    </row>
    <row r="2619" spans="3:9" ht="18.75" hidden="1" customHeight="1" x14ac:dyDescent="0.25">
      <c r="C2619" s="109"/>
      <c r="D2619" s="268" t="s">
        <v>2088</v>
      </c>
      <c r="E2619" s="107">
        <v>1530849300</v>
      </c>
      <c r="F2619" s="221">
        <v>1491677984</v>
      </c>
      <c r="G2619" s="117">
        <f t="shared" si="163"/>
        <v>97.441203650810053</v>
      </c>
      <c r="H2619" s="182">
        <f t="shared" si="162"/>
        <v>97.441203650810053</v>
      </c>
      <c r="I2619" s="111"/>
    </row>
    <row r="2620" spans="3:9" ht="16.5" hidden="1" customHeight="1" x14ac:dyDescent="0.25">
      <c r="C2620" s="109"/>
      <c r="D2620" s="267" t="s">
        <v>166</v>
      </c>
      <c r="E2620" s="120">
        <v>7095319100</v>
      </c>
      <c r="F2620" s="220">
        <f>SUM(F2621:F2622)</f>
        <v>6058687500</v>
      </c>
      <c r="G2620" s="114">
        <f t="shared" si="163"/>
        <v>85.389922773170269</v>
      </c>
      <c r="H2620" s="182">
        <f t="shared" si="162"/>
        <v>85.389922773170269</v>
      </c>
      <c r="I2620" s="111"/>
    </row>
    <row r="2621" spans="3:9" ht="35.25" hidden="1" customHeight="1" x14ac:dyDescent="0.25">
      <c r="C2621" s="109"/>
      <c r="D2621" s="268" t="s">
        <v>2089</v>
      </c>
      <c r="E2621" s="107">
        <v>3459319100</v>
      </c>
      <c r="F2621" s="221">
        <v>2900187500</v>
      </c>
      <c r="G2621" s="117">
        <f t="shared" si="163"/>
        <v>83.836946409482721</v>
      </c>
      <c r="H2621" s="182">
        <f t="shared" si="162"/>
        <v>83.836946409482721</v>
      </c>
      <c r="I2621" s="111"/>
    </row>
    <row r="2622" spans="3:9" ht="16.5" hidden="1" customHeight="1" x14ac:dyDescent="0.25">
      <c r="C2622" s="109"/>
      <c r="D2622" s="268" t="s">
        <v>2090</v>
      </c>
      <c r="E2622" s="107">
        <v>3636000000</v>
      </c>
      <c r="F2622" s="221">
        <v>3158500000</v>
      </c>
      <c r="G2622" s="117">
        <f t="shared" si="163"/>
        <v>86.867436743674361</v>
      </c>
      <c r="H2622" s="182">
        <f t="shared" si="162"/>
        <v>86.867436743674361</v>
      </c>
      <c r="I2622" s="111"/>
    </row>
    <row r="2623" spans="3:9" ht="16.5" hidden="1" customHeight="1" x14ac:dyDescent="0.25">
      <c r="C2623" s="109"/>
      <c r="D2623" s="267" t="s">
        <v>177</v>
      </c>
      <c r="E2623" s="120">
        <v>1199061500</v>
      </c>
      <c r="F2623" s="220">
        <f>SUM(F2624:F2625)</f>
        <v>1147315000</v>
      </c>
      <c r="G2623" s="114">
        <f t="shared" si="163"/>
        <v>95.684416520753928</v>
      </c>
      <c r="H2623" s="182">
        <f t="shared" si="162"/>
        <v>95.684416520753928</v>
      </c>
      <c r="I2623" s="111"/>
    </row>
    <row r="2624" spans="3:9" ht="16.5" hidden="1" customHeight="1" x14ac:dyDescent="0.25">
      <c r="C2624" s="109"/>
      <c r="D2624" s="268" t="s">
        <v>2091</v>
      </c>
      <c r="E2624" s="107">
        <v>1069061500</v>
      </c>
      <c r="F2624" s="221">
        <v>1041215000</v>
      </c>
      <c r="G2624" s="117">
        <f t="shared" si="163"/>
        <v>97.395238721065155</v>
      </c>
      <c r="H2624" s="182">
        <f t="shared" si="162"/>
        <v>97.395238721065155</v>
      </c>
      <c r="I2624" s="111"/>
    </row>
    <row r="2625" spans="3:9" ht="16.5" hidden="1" customHeight="1" x14ac:dyDescent="0.25">
      <c r="C2625" s="109"/>
      <c r="D2625" s="268" t="s">
        <v>2092</v>
      </c>
      <c r="E2625" s="107">
        <v>130000000</v>
      </c>
      <c r="F2625" s="221">
        <v>106100000</v>
      </c>
      <c r="G2625" s="117">
        <f t="shared" si="163"/>
        <v>81.615384615384613</v>
      </c>
      <c r="H2625" s="182">
        <f t="shared" si="162"/>
        <v>81.615384615384613</v>
      </c>
      <c r="I2625" s="111"/>
    </row>
    <row r="2626" spans="3:9" ht="16.5" hidden="1" customHeight="1" x14ac:dyDescent="0.25">
      <c r="C2626" s="109"/>
      <c r="D2626" s="267" t="s">
        <v>179</v>
      </c>
      <c r="E2626" s="120">
        <v>143500000</v>
      </c>
      <c r="F2626" s="220">
        <f>F2627</f>
        <v>127800000</v>
      </c>
      <c r="G2626" s="114">
        <f t="shared" si="163"/>
        <v>89.059233449477347</v>
      </c>
      <c r="H2626" s="182">
        <f t="shared" si="162"/>
        <v>89.059233449477347</v>
      </c>
      <c r="I2626" s="111"/>
    </row>
    <row r="2627" spans="3:9" ht="16.5" hidden="1" customHeight="1" x14ac:dyDescent="0.25">
      <c r="C2627" s="109"/>
      <c r="D2627" s="268" t="s">
        <v>2093</v>
      </c>
      <c r="E2627" s="107">
        <v>143500000</v>
      </c>
      <c r="F2627" s="221">
        <v>127800000</v>
      </c>
      <c r="G2627" s="117">
        <f t="shared" si="163"/>
        <v>89.059233449477347</v>
      </c>
      <c r="H2627" s="182">
        <f t="shared" si="162"/>
        <v>89.059233449477347</v>
      </c>
      <c r="I2627" s="111"/>
    </row>
    <row r="2628" spans="3:9" ht="16.5" hidden="1" customHeight="1" x14ac:dyDescent="0.25">
      <c r="C2628" s="109"/>
      <c r="D2628" s="267" t="s">
        <v>182</v>
      </c>
      <c r="E2628" s="120">
        <v>1882526850</v>
      </c>
      <c r="F2628" s="220">
        <f>SUM(F2629:F2630)</f>
        <v>1794824000</v>
      </c>
      <c r="G2628" s="114">
        <f t="shared" si="163"/>
        <v>95.341216514388634</v>
      </c>
      <c r="H2628" s="182">
        <f t="shared" si="162"/>
        <v>95.341216514388634</v>
      </c>
      <c r="I2628" s="111"/>
    </row>
    <row r="2629" spans="3:9" ht="16.5" hidden="1" customHeight="1" x14ac:dyDescent="0.25">
      <c r="C2629" s="109"/>
      <c r="D2629" s="268" t="s">
        <v>2094</v>
      </c>
      <c r="E2629" s="107">
        <v>286850000</v>
      </c>
      <c r="F2629" s="221">
        <v>285950000</v>
      </c>
      <c r="G2629" s="117">
        <f t="shared" si="163"/>
        <v>99.686247167509151</v>
      </c>
      <c r="H2629" s="182">
        <f t="shared" si="162"/>
        <v>99.686247167509151</v>
      </c>
      <c r="I2629" s="111"/>
    </row>
    <row r="2630" spans="3:9" ht="18.75" hidden="1" customHeight="1" x14ac:dyDescent="0.25">
      <c r="C2630" s="109"/>
      <c r="D2630" s="268" t="s">
        <v>2095</v>
      </c>
      <c r="E2630" s="107">
        <v>1595676850</v>
      </c>
      <c r="F2630" s="221">
        <v>1508874000</v>
      </c>
      <c r="G2630" s="117">
        <f t="shared" si="163"/>
        <v>94.560123498689592</v>
      </c>
      <c r="H2630" s="182">
        <f t="shared" si="162"/>
        <v>94.560123498689592</v>
      </c>
      <c r="I2630" s="111"/>
    </row>
    <row r="2631" spans="3:9" ht="16.5" hidden="1" customHeight="1" x14ac:dyDescent="0.25">
      <c r="C2631" s="109"/>
      <c r="D2631" s="267" t="s">
        <v>2096</v>
      </c>
      <c r="E2631" s="120">
        <v>217225000</v>
      </c>
      <c r="F2631" s="220">
        <f>F2632</f>
        <v>194055000</v>
      </c>
      <c r="G2631" s="114">
        <f t="shared" si="163"/>
        <v>89.333640234779608</v>
      </c>
      <c r="H2631" s="182">
        <f t="shared" si="162"/>
        <v>89.333640234779608</v>
      </c>
      <c r="I2631" s="111"/>
    </row>
    <row r="2632" spans="3:9" ht="16.5" hidden="1" customHeight="1" x14ac:dyDescent="0.25">
      <c r="C2632" s="109"/>
      <c r="D2632" s="268" t="s">
        <v>2097</v>
      </c>
      <c r="E2632" s="107">
        <v>217225000</v>
      </c>
      <c r="F2632" s="221">
        <v>194055000</v>
      </c>
      <c r="G2632" s="117">
        <f t="shared" si="163"/>
        <v>89.333640234779608</v>
      </c>
      <c r="H2632" s="182">
        <f t="shared" si="162"/>
        <v>89.333640234779608</v>
      </c>
      <c r="I2632" s="111"/>
    </row>
    <row r="2633" spans="3:9" ht="16.5" hidden="1" customHeight="1" x14ac:dyDescent="0.25">
      <c r="C2633" s="109"/>
      <c r="D2633" s="268"/>
      <c r="E2633" s="107"/>
      <c r="F2633" s="108"/>
      <c r="G2633" s="114"/>
      <c r="H2633" s="182">
        <f t="shared" si="162"/>
        <v>0</v>
      </c>
      <c r="I2633" s="111"/>
    </row>
    <row r="2634" spans="3:9" ht="16.5" hidden="1" customHeight="1" x14ac:dyDescent="0.25">
      <c r="C2634" s="109"/>
      <c r="D2634" s="267" t="s">
        <v>2098</v>
      </c>
      <c r="E2634" s="120">
        <f>E2635+E2637</f>
        <v>3000000000</v>
      </c>
      <c r="F2634" s="220">
        <f>F2635+F2637</f>
        <v>2989071010</v>
      </c>
      <c r="G2634" s="114">
        <f>+F2634/E2634*100</f>
        <v>99.635700333333332</v>
      </c>
      <c r="H2634" s="182">
        <f t="shared" si="162"/>
        <v>99.635700333333332</v>
      </c>
      <c r="I2634" s="111"/>
    </row>
    <row r="2635" spans="3:9" ht="16.5" hidden="1" customHeight="1" x14ac:dyDescent="0.25">
      <c r="C2635" s="109"/>
      <c r="D2635" s="267" t="s">
        <v>156</v>
      </c>
      <c r="E2635" s="120">
        <v>2460000000</v>
      </c>
      <c r="F2635" s="220">
        <f>F2636</f>
        <v>2449071010</v>
      </c>
      <c r="G2635" s="114">
        <f>+F2635/E2635*100</f>
        <v>99.555732113821136</v>
      </c>
      <c r="H2635" s="182">
        <f t="shared" si="162"/>
        <v>99.555732113821136</v>
      </c>
      <c r="I2635" s="111"/>
    </row>
    <row r="2636" spans="3:9" ht="18.75" hidden="1" customHeight="1" x14ac:dyDescent="0.25">
      <c r="C2636" s="109"/>
      <c r="D2636" s="268" t="s">
        <v>2088</v>
      </c>
      <c r="E2636" s="107">
        <v>2460000000</v>
      </c>
      <c r="F2636" s="221">
        <v>2449071010</v>
      </c>
      <c r="G2636" s="117">
        <f>+F2636/E2636*100</f>
        <v>99.555732113821136</v>
      </c>
      <c r="H2636" s="182">
        <f t="shared" si="162"/>
        <v>99.555732113821136</v>
      </c>
      <c r="I2636" s="111"/>
    </row>
    <row r="2637" spans="3:9" ht="16.5" hidden="1" customHeight="1" x14ac:dyDescent="0.25">
      <c r="C2637" s="109"/>
      <c r="D2637" s="267" t="s">
        <v>2099</v>
      </c>
      <c r="E2637" s="120">
        <v>540000000</v>
      </c>
      <c r="F2637" s="220">
        <f>F2638</f>
        <v>540000000</v>
      </c>
      <c r="G2637" s="114">
        <f>+F2637/E2637*100</f>
        <v>100</v>
      </c>
      <c r="H2637" s="182">
        <f t="shared" si="162"/>
        <v>100</v>
      </c>
      <c r="I2637" s="111"/>
    </row>
    <row r="2638" spans="3:9" ht="16.5" hidden="1" customHeight="1" x14ac:dyDescent="0.25">
      <c r="C2638" s="109"/>
      <c r="D2638" s="268" t="s">
        <v>2100</v>
      </c>
      <c r="E2638" s="107">
        <v>540000000</v>
      </c>
      <c r="F2638" s="221">
        <v>540000000</v>
      </c>
      <c r="G2638" s="117">
        <f>+F2638/E2638*100</f>
        <v>100</v>
      </c>
      <c r="H2638" s="182">
        <f t="shared" si="162"/>
        <v>100</v>
      </c>
      <c r="I2638" s="111"/>
    </row>
    <row r="2639" spans="3:9" ht="16.5" hidden="1" customHeight="1" x14ac:dyDescent="0.25">
      <c r="C2639" s="109"/>
      <c r="D2639" s="268"/>
      <c r="E2639" s="107"/>
      <c r="F2639" s="108"/>
      <c r="G2639" s="114"/>
      <c r="H2639" s="182">
        <f t="shared" si="162"/>
        <v>0</v>
      </c>
      <c r="I2639" s="111"/>
    </row>
    <row r="2640" spans="3:9" ht="18.75" hidden="1" customHeight="1" x14ac:dyDescent="0.25">
      <c r="C2640" s="109"/>
      <c r="D2640" s="267" t="s">
        <v>2101</v>
      </c>
      <c r="E2640" s="120">
        <v>20091308000</v>
      </c>
      <c r="F2640" s="220">
        <f>F2641</f>
        <v>19886730085</v>
      </c>
      <c r="G2640" s="114">
        <f>+F2640/E2640*100</f>
        <v>98.981759101995749</v>
      </c>
      <c r="H2640" s="182">
        <f t="shared" si="162"/>
        <v>98.981759101995749</v>
      </c>
      <c r="I2640" s="111"/>
    </row>
    <row r="2641" spans="3:9" s="57" customFormat="1" ht="16.5" hidden="1" customHeight="1" x14ac:dyDescent="0.25">
      <c r="C2641" s="109"/>
      <c r="D2641" s="267" t="s">
        <v>1112</v>
      </c>
      <c r="E2641" s="120">
        <v>20091308000</v>
      </c>
      <c r="F2641" s="220">
        <f>F2642</f>
        <v>19886730085</v>
      </c>
      <c r="G2641" s="114">
        <f>+F2641/E2641*100</f>
        <v>98.981759101995749</v>
      </c>
      <c r="H2641" s="182">
        <f t="shared" si="162"/>
        <v>98.981759101995749</v>
      </c>
      <c r="I2641" s="111"/>
    </row>
    <row r="2642" spans="3:9" ht="16.5" hidden="1" customHeight="1" x14ac:dyDescent="0.25">
      <c r="C2642" s="109"/>
      <c r="D2642" s="268" t="s">
        <v>1587</v>
      </c>
      <c r="E2642" s="107">
        <v>20091308000</v>
      </c>
      <c r="F2642" s="221">
        <v>19886730085</v>
      </c>
      <c r="G2642" s="117">
        <f>+F2642/E2642*100</f>
        <v>98.981759101995749</v>
      </c>
      <c r="H2642" s="182">
        <f t="shared" si="162"/>
        <v>98.981759101995749</v>
      </c>
      <c r="I2642" s="111"/>
    </row>
    <row r="2643" spans="3:9" ht="16.5" hidden="1" customHeight="1" x14ac:dyDescent="0.25">
      <c r="C2643" s="109"/>
      <c r="D2643" s="268"/>
      <c r="E2643" s="107"/>
      <c r="F2643" s="108"/>
      <c r="G2643" s="114"/>
      <c r="H2643" s="182">
        <f t="shared" si="162"/>
        <v>0</v>
      </c>
      <c r="I2643" s="111"/>
    </row>
    <row r="2644" spans="3:9" ht="16.5" hidden="1" customHeight="1" x14ac:dyDescent="0.25">
      <c r="C2644" s="109"/>
      <c r="D2644" s="267" t="s">
        <v>1111</v>
      </c>
      <c r="E2644" s="120">
        <v>629665450</v>
      </c>
      <c r="F2644" s="220">
        <f>F2645</f>
        <v>627485000</v>
      </c>
      <c r="G2644" s="114">
        <f>+F2644/E2644*100</f>
        <v>99.653712935972578</v>
      </c>
      <c r="H2644" s="182">
        <f t="shared" si="162"/>
        <v>99.653712935972578</v>
      </c>
      <c r="I2644" s="111"/>
    </row>
    <row r="2645" spans="3:9" s="57" customFormat="1" ht="35.25" hidden="1" customHeight="1" x14ac:dyDescent="0.25">
      <c r="C2645" s="109"/>
      <c r="D2645" s="267" t="s">
        <v>259</v>
      </c>
      <c r="E2645" s="120">
        <v>629665450</v>
      </c>
      <c r="F2645" s="220">
        <f>SUM(F2646:F2647)</f>
        <v>627485000</v>
      </c>
      <c r="G2645" s="114">
        <f>+F2645/E2645*100</f>
        <v>99.653712935972578</v>
      </c>
      <c r="H2645" s="182">
        <f t="shared" si="162"/>
        <v>99.653712935972578</v>
      </c>
      <c r="I2645" s="111"/>
    </row>
    <row r="2646" spans="3:9" ht="16.5" hidden="1" customHeight="1" x14ac:dyDescent="0.25">
      <c r="C2646" s="109"/>
      <c r="D2646" s="268" t="s">
        <v>2102</v>
      </c>
      <c r="E2646" s="107">
        <v>359440450</v>
      </c>
      <c r="F2646" s="221">
        <v>358160000</v>
      </c>
      <c r="G2646" s="117">
        <f>+F2646/E2646*100</f>
        <v>99.643765747566803</v>
      </c>
      <c r="H2646" s="182">
        <f t="shared" si="162"/>
        <v>99.643765747566803</v>
      </c>
      <c r="I2646" s="111"/>
    </row>
    <row r="2647" spans="3:9" ht="16.5" hidden="1" customHeight="1" x14ac:dyDescent="0.25">
      <c r="C2647" s="109"/>
      <c r="D2647" s="268" t="s">
        <v>2103</v>
      </c>
      <c r="E2647" s="107">
        <v>270225000</v>
      </c>
      <c r="F2647" s="221">
        <v>269325000</v>
      </c>
      <c r="G2647" s="117">
        <f>+F2647/E2647*100</f>
        <v>99.666944213155702</v>
      </c>
      <c r="H2647" s="182">
        <f t="shared" si="162"/>
        <v>99.666944213155702</v>
      </c>
      <c r="I2647" s="111"/>
    </row>
    <row r="2648" spans="3:9" ht="16.5" hidden="1" customHeight="1" x14ac:dyDescent="0.25">
      <c r="C2648" s="109"/>
      <c r="D2648" s="268"/>
      <c r="E2648" s="107"/>
      <c r="F2648" s="108"/>
      <c r="G2648" s="114"/>
      <c r="H2648" s="182">
        <f t="shared" si="162"/>
        <v>0</v>
      </c>
      <c r="I2648" s="111"/>
    </row>
    <row r="2649" spans="3:9" ht="16.5" hidden="1" customHeight="1" x14ac:dyDescent="0.25">
      <c r="C2649" s="109"/>
      <c r="D2649" s="267" t="s">
        <v>1491</v>
      </c>
      <c r="E2649" s="120">
        <v>579565450</v>
      </c>
      <c r="F2649" s="220">
        <v>579565450</v>
      </c>
      <c r="G2649" s="114">
        <f>+F2649/E2649*100</f>
        <v>100</v>
      </c>
      <c r="H2649" s="182">
        <f t="shared" si="162"/>
        <v>100</v>
      </c>
      <c r="I2649" s="111"/>
    </row>
    <row r="2650" spans="3:9" ht="16.5" hidden="1" customHeight="1" x14ac:dyDescent="0.25">
      <c r="C2650" s="109"/>
      <c r="D2650" s="267" t="s">
        <v>275</v>
      </c>
      <c r="E2650" s="120">
        <v>579565450</v>
      </c>
      <c r="F2650" s="220">
        <f>F2651</f>
        <v>579565000</v>
      </c>
      <c r="G2650" s="114">
        <f>+F2650/E2650*100</f>
        <v>99.999922355620058</v>
      </c>
      <c r="H2650" s="182">
        <f t="shared" si="162"/>
        <v>99.999922355620058</v>
      </c>
      <c r="I2650" s="111"/>
    </row>
    <row r="2651" spans="3:9" ht="18.75" hidden="1" customHeight="1" x14ac:dyDescent="0.25">
      <c r="C2651" s="109"/>
      <c r="D2651" s="268" t="s">
        <v>2104</v>
      </c>
      <c r="E2651" s="107">
        <v>579565450</v>
      </c>
      <c r="F2651" s="221">
        <v>579565000</v>
      </c>
      <c r="G2651" s="117">
        <f>+F2651/E2651*100</f>
        <v>99.999922355620058</v>
      </c>
      <c r="H2651" s="182">
        <f t="shared" si="162"/>
        <v>99.999922355620058</v>
      </c>
      <c r="I2651" s="111"/>
    </row>
    <row r="2652" spans="3:9" ht="16.5" hidden="1" customHeight="1" x14ac:dyDescent="0.25">
      <c r="C2652" s="109"/>
      <c r="D2652" s="268"/>
      <c r="E2652" s="107"/>
      <c r="F2652" s="108"/>
      <c r="G2652" s="114"/>
      <c r="H2652" s="182">
        <f t="shared" si="162"/>
        <v>0</v>
      </c>
      <c r="I2652" s="111"/>
    </row>
    <row r="2653" spans="3:9" ht="16.5" hidden="1" customHeight="1" x14ac:dyDescent="0.25">
      <c r="C2653" s="109"/>
      <c r="D2653" s="267" t="s">
        <v>1119</v>
      </c>
      <c r="E2653" s="120">
        <f>E2654+E2656</f>
        <v>1004565450</v>
      </c>
      <c r="F2653" s="220">
        <f>F2654+F2656</f>
        <v>1001560450</v>
      </c>
      <c r="G2653" s="114">
        <f>+F2653/E2653*100</f>
        <v>99.700865682768608</v>
      </c>
      <c r="H2653" s="182">
        <f t="shared" si="162"/>
        <v>99.700865682768608</v>
      </c>
      <c r="I2653" s="111"/>
    </row>
    <row r="2654" spans="3:9" ht="16.5" hidden="1" customHeight="1" x14ac:dyDescent="0.25">
      <c r="C2654" s="109"/>
      <c r="D2654" s="267" t="s">
        <v>343</v>
      </c>
      <c r="E2654" s="120">
        <f>+E2655</f>
        <v>449348325</v>
      </c>
      <c r="F2654" s="220">
        <f>F2655</f>
        <v>449343325</v>
      </c>
      <c r="G2654" s="114">
        <f>+F2654/E2654*100</f>
        <v>99.998887277481231</v>
      </c>
      <c r="H2654" s="182">
        <f t="shared" si="162"/>
        <v>99.998887277481231</v>
      </c>
      <c r="I2654" s="111"/>
    </row>
    <row r="2655" spans="3:9" ht="16.5" hidden="1" customHeight="1" x14ac:dyDescent="0.25">
      <c r="C2655" s="109"/>
      <c r="D2655" s="268" t="s">
        <v>880</v>
      </c>
      <c r="E2655" s="107">
        <f>449348325</f>
        <v>449348325</v>
      </c>
      <c r="F2655" s="221">
        <v>449343325</v>
      </c>
      <c r="G2655" s="117">
        <f>+F2655/E2655*100</f>
        <v>99.998887277481231</v>
      </c>
      <c r="H2655" s="182">
        <f t="shared" si="162"/>
        <v>99.998887277481231</v>
      </c>
      <c r="I2655" s="111"/>
    </row>
    <row r="2656" spans="3:9" ht="16.5" hidden="1" customHeight="1" x14ac:dyDescent="0.25">
      <c r="C2656" s="109"/>
      <c r="D2656" s="267" t="s">
        <v>2105</v>
      </c>
      <c r="E2656" s="120">
        <f>+E2657</f>
        <v>555217125</v>
      </c>
      <c r="F2656" s="220">
        <f>F2657</f>
        <v>552217125</v>
      </c>
      <c r="G2656" s="114">
        <f>+F2656/E2656*100</f>
        <v>99.459670844986988</v>
      </c>
      <c r="H2656" s="182">
        <f t="shared" si="162"/>
        <v>99.459670844986988</v>
      </c>
      <c r="I2656" s="111"/>
    </row>
    <row r="2657" spans="3:9" ht="16.5" hidden="1" customHeight="1" x14ac:dyDescent="0.25">
      <c r="C2657" s="109"/>
      <c r="D2657" s="268" t="s">
        <v>2106</v>
      </c>
      <c r="E2657" s="107">
        <v>555217125</v>
      </c>
      <c r="F2657" s="221">
        <v>552217125</v>
      </c>
      <c r="G2657" s="117">
        <f>+F2657/E2657*100</f>
        <v>99.459670844986988</v>
      </c>
      <c r="H2657" s="182">
        <f t="shared" si="162"/>
        <v>99.459670844986988</v>
      </c>
      <c r="I2657" s="111"/>
    </row>
    <row r="2658" spans="3:9" ht="16.5" hidden="1" customHeight="1" x14ac:dyDescent="0.25">
      <c r="C2658" s="109"/>
      <c r="D2658" s="268"/>
      <c r="E2658" s="107"/>
      <c r="F2658" s="108"/>
      <c r="G2658" s="114"/>
      <c r="H2658" s="182">
        <f t="shared" si="162"/>
        <v>0</v>
      </c>
      <c r="I2658" s="111"/>
    </row>
    <row r="2659" spans="3:9" ht="16.5" hidden="1" customHeight="1" x14ac:dyDescent="0.25">
      <c r="C2659" s="109"/>
      <c r="D2659" s="267" t="s">
        <v>1075</v>
      </c>
      <c r="E2659" s="120">
        <f>+E2660</f>
        <v>3000000000</v>
      </c>
      <c r="F2659" s="220">
        <f>F2660</f>
        <v>2963564360</v>
      </c>
      <c r="G2659" s="114">
        <f>+F2659/E2659*100</f>
        <v>98.785478666666677</v>
      </c>
      <c r="H2659" s="182">
        <f t="shared" si="162"/>
        <v>98.785478666666677</v>
      </c>
      <c r="I2659" s="111"/>
    </row>
    <row r="2660" spans="3:9" ht="16.5" hidden="1" customHeight="1" x14ac:dyDescent="0.25">
      <c r="C2660" s="109"/>
      <c r="D2660" s="267" t="s">
        <v>1076</v>
      </c>
      <c r="E2660" s="120">
        <f>+E2661+E2662+E2663</f>
        <v>3000000000</v>
      </c>
      <c r="F2660" s="220">
        <f>SUM(F2661:F2663)</f>
        <v>2963564360</v>
      </c>
      <c r="G2660" s="114">
        <f>+F2660/E2660*100</f>
        <v>98.785478666666677</v>
      </c>
      <c r="H2660" s="182">
        <f t="shared" si="162"/>
        <v>98.785478666666677</v>
      </c>
      <c r="I2660" s="111"/>
    </row>
    <row r="2661" spans="3:9" ht="16.5" hidden="1" customHeight="1" x14ac:dyDescent="0.25">
      <c r="C2661" s="109"/>
      <c r="D2661" s="268" t="s">
        <v>2107</v>
      </c>
      <c r="E2661" s="107">
        <v>401169600</v>
      </c>
      <c r="F2661" s="221">
        <v>399159600</v>
      </c>
      <c r="G2661" s="117">
        <f>+F2661/E2661*100</f>
        <v>99.498965026263207</v>
      </c>
      <c r="H2661" s="182">
        <f t="shared" si="162"/>
        <v>99.498965026263207</v>
      </c>
      <c r="I2661" s="111"/>
    </row>
    <row r="2662" spans="3:9" ht="16.5" hidden="1" customHeight="1" x14ac:dyDescent="0.25">
      <c r="C2662" s="109"/>
      <c r="D2662" s="268" t="s">
        <v>2108</v>
      </c>
      <c r="E2662" s="107">
        <v>2050731000</v>
      </c>
      <c r="F2662" s="221">
        <v>2016444760</v>
      </c>
      <c r="G2662" s="117">
        <f>+F2662/E2662*100</f>
        <v>98.328096664067587</v>
      </c>
      <c r="H2662" s="182">
        <f t="shared" ref="H2662:H2725" si="164">+G2662</f>
        <v>98.328096664067587</v>
      </c>
      <c r="I2662" s="111"/>
    </row>
    <row r="2663" spans="3:9" ht="16.5" hidden="1" customHeight="1" x14ac:dyDescent="0.25">
      <c r="C2663" s="109"/>
      <c r="D2663" s="268" t="s">
        <v>2109</v>
      </c>
      <c r="E2663" s="107">
        <v>548099400</v>
      </c>
      <c r="F2663" s="221">
        <v>547960000</v>
      </c>
      <c r="G2663" s="117">
        <f>+F2663/E2663*100</f>
        <v>99.974566657069857</v>
      </c>
      <c r="H2663" s="182">
        <f t="shared" si="164"/>
        <v>99.974566657069857</v>
      </c>
      <c r="I2663" s="111"/>
    </row>
    <row r="2664" spans="3:9" ht="16.5" hidden="1" customHeight="1" x14ac:dyDescent="0.25">
      <c r="C2664" s="109"/>
      <c r="D2664" s="268"/>
      <c r="E2664" s="107"/>
      <c r="F2664" s="108"/>
      <c r="G2664" s="114"/>
      <c r="H2664" s="182">
        <f t="shared" si="164"/>
        <v>0</v>
      </c>
      <c r="I2664" s="111"/>
    </row>
    <row r="2665" spans="3:9" ht="16.5" hidden="1" customHeight="1" x14ac:dyDescent="0.25">
      <c r="C2665" s="109"/>
      <c r="D2665" s="267" t="s">
        <v>1124</v>
      </c>
      <c r="E2665" s="120">
        <f>E2666</f>
        <v>300000000</v>
      </c>
      <c r="F2665" s="220">
        <f>F2666</f>
        <v>297000000</v>
      </c>
      <c r="G2665" s="114">
        <f>+F2665/E2665*100</f>
        <v>99</v>
      </c>
      <c r="H2665" s="182">
        <f t="shared" si="164"/>
        <v>99</v>
      </c>
      <c r="I2665" s="111"/>
    </row>
    <row r="2666" spans="3:9" ht="16.5" hidden="1" customHeight="1" x14ac:dyDescent="0.25">
      <c r="C2666" s="109"/>
      <c r="D2666" s="267" t="s">
        <v>874</v>
      </c>
      <c r="E2666" s="120">
        <f>E2667</f>
        <v>300000000</v>
      </c>
      <c r="F2666" s="220">
        <f>F2667</f>
        <v>297000000</v>
      </c>
      <c r="G2666" s="114">
        <f>+F2666/E2666*100</f>
        <v>99</v>
      </c>
      <c r="H2666" s="182">
        <f t="shared" si="164"/>
        <v>99</v>
      </c>
      <c r="I2666" s="111"/>
    </row>
    <row r="2667" spans="3:9" ht="16.5" hidden="1" customHeight="1" x14ac:dyDescent="0.25">
      <c r="C2667" s="109"/>
      <c r="D2667" s="268" t="s">
        <v>2110</v>
      </c>
      <c r="E2667" s="107">
        <v>300000000</v>
      </c>
      <c r="F2667" s="221">
        <v>297000000</v>
      </c>
      <c r="G2667" s="117">
        <f>+F2667/E2667*100</f>
        <v>99</v>
      </c>
      <c r="H2667" s="182">
        <f t="shared" si="164"/>
        <v>99</v>
      </c>
      <c r="I2667" s="111"/>
    </row>
    <row r="2668" spans="3:9" ht="16.5" hidden="1" customHeight="1" x14ac:dyDescent="0.25">
      <c r="C2668" s="109"/>
      <c r="D2668" s="268"/>
      <c r="E2668" s="107"/>
      <c r="F2668" s="108"/>
      <c r="G2668" s="114"/>
      <c r="H2668" s="182">
        <f t="shared" si="164"/>
        <v>0</v>
      </c>
      <c r="I2668" s="111"/>
    </row>
    <row r="2669" spans="3:9" ht="16.5" hidden="1" customHeight="1" x14ac:dyDescent="0.25">
      <c r="C2669" s="109"/>
      <c r="D2669" s="267" t="s">
        <v>1478</v>
      </c>
      <c r="E2669" s="120">
        <f>E2670</f>
        <v>568481750</v>
      </c>
      <c r="F2669" s="220">
        <f>F2670</f>
        <v>560381500</v>
      </c>
      <c r="G2669" s="114">
        <f>+F2669/E2669*100</f>
        <v>98.575108171898222</v>
      </c>
      <c r="H2669" s="182">
        <f t="shared" si="164"/>
        <v>98.575108171898222</v>
      </c>
      <c r="I2669" s="111"/>
    </row>
    <row r="2670" spans="3:9" ht="16.5" hidden="1" customHeight="1" x14ac:dyDescent="0.25">
      <c r="C2670" s="109"/>
      <c r="D2670" s="267" t="s">
        <v>744</v>
      </c>
      <c r="E2670" s="120">
        <f>SUM(E2671:E2673)</f>
        <v>568481750</v>
      </c>
      <c r="F2670" s="220">
        <f>SUM(F2671:F2673)</f>
        <v>560381500</v>
      </c>
      <c r="G2670" s="114">
        <f>+F2670/E2670*100</f>
        <v>98.575108171898222</v>
      </c>
      <c r="H2670" s="182">
        <f t="shared" si="164"/>
        <v>98.575108171898222</v>
      </c>
      <c r="I2670" s="111"/>
    </row>
    <row r="2671" spans="3:9" ht="16.5" hidden="1" customHeight="1" x14ac:dyDescent="0.25">
      <c r="C2671" s="109"/>
      <c r="D2671" s="268" t="s">
        <v>2111</v>
      </c>
      <c r="E2671" s="107">
        <v>186155000</v>
      </c>
      <c r="F2671" s="221">
        <v>178955000</v>
      </c>
      <c r="G2671" s="117">
        <f>+F2671/E2671*100</f>
        <v>96.132255378582371</v>
      </c>
      <c r="H2671" s="182">
        <f t="shared" si="164"/>
        <v>96.132255378582371</v>
      </c>
      <c r="I2671" s="111"/>
    </row>
    <row r="2672" spans="3:9" ht="16.5" hidden="1" customHeight="1" x14ac:dyDescent="0.25">
      <c r="C2672" s="109"/>
      <c r="D2672" s="268" t="s">
        <v>2112</v>
      </c>
      <c r="E2672" s="107">
        <v>253715750</v>
      </c>
      <c r="F2672" s="221">
        <v>252815500</v>
      </c>
      <c r="G2672" s="117">
        <f>+F2672/E2672*100</f>
        <v>99.645173782076995</v>
      </c>
      <c r="H2672" s="182">
        <f t="shared" si="164"/>
        <v>99.645173782076995</v>
      </c>
      <c r="I2672" s="111"/>
    </row>
    <row r="2673" spans="3:9" ht="16.5" hidden="1" customHeight="1" x14ac:dyDescent="0.25">
      <c r="C2673" s="109"/>
      <c r="D2673" s="268" t="s">
        <v>2113</v>
      </c>
      <c r="E2673" s="107">
        <v>128611000</v>
      </c>
      <c r="F2673" s="221">
        <v>128611000</v>
      </c>
      <c r="G2673" s="117">
        <f>+F2673/E2673*100</f>
        <v>100</v>
      </c>
      <c r="H2673" s="182">
        <f t="shared" si="164"/>
        <v>100</v>
      </c>
      <c r="I2673" s="111"/>
    </row>
    <row r="2674" spans="3:9" ht="16.5" hidden="1" customHeight="1" x14ac:dyDescent="0.25">
      <c r="C2674" s="109"/>
      <c r="D2674" s="268"/>
      <c r="E2674" s="107"/>
      <c r="F2674" s="108"/>
      <c r="G2674" s="114"/>
      <c r="H2674" s="182">
        <f t="shared" si="164"/>
        <v>0</v>
      </c>
      <c r="I2674" s="111"/>
    </row>
    <row r="2675" spans="3:9" ht="18.75" hidden="1" customHeight="1" x14ac:dyDescent="0.25">
      <c r="C2675" s="109"/>
      <c r="D2675" s="267" t="s">
        <v>2114</v>
      </c>
      <c r="E2675" s="120">
        <f>+E2676+E2679+E2681</f>
        <v>7114136112</v>
      </c>
      <c r="F2675" s="220">
        <f>F2676+F2679+F2681</f>
        <v>7051246700</v>
      </c>
      <c r="G2675" s="114">
        <f t="shared" ref="G2675:G2682" si="165">+F2675/E2675*100</f>
        <v>99.115993691856431</v>
      </c>
      <c r="H2675" s="182">
        <f t="shared" si="164"/>
        <v>99.115993691856431</v>
      </c>
      <c r="I2675" s="111"/>
    </row>
    <row r="2676" spans="3:9" ht="16.5" hidden="1" customHeight="1" x14ac:dyDescent="0.25">
      <c r="C2676" s="109"/>
      <c r="D2676" s="267" t="s">
        <v>370</v>
      </c>
      <c r="E2676" s="120">
        <v>2300000000</v>
      </c>
      <c r="F2676" s="220">
        <f>SUM(F2677:F2678)</f>
        <v>2269046700</v>
      </c>
      <c r="G2676" s="114">
        <f t="shared" si="165"/>
        <v>98.654204347826095</v>
      </c>
      <c r="H2676" s="182">
        <f t="shared" si="164"/>
        <v>98.654204347826095</v>
      </c>
      <c r="I2676" s="111"/>
    </row>
    <row r="2677" spans="3:9" ht="18.75" hidden="1" customHeight="1" x14ac:dyDescent="0.25">
      <c r="C2677" s="109"/>
      <c r="D2677" s="268" t="s">
        <v>2115</v>
      </c>
      <c r="E2677" s="107">
        <v>600000000</v>
      </c>
      <c r="F2677" s="221">
        <v>571509700</v>
      </c>
      <c r="G2677" s="117">
        <f t="shared" si="165"/>
        <v>95.251616666666678</v>
      </c>
      <c r="H2677" s="182">
        <f t="shared" si="164"/>
        <v>95.251616666666678</v>
      </c>
      <c r="I2677" s="111"/>
    </row>
    <row r="2678" spans="3:9" ht="16.5" hidden="1" customHeight="1" x14ac:dyDescent="0.25">
      <c r="C2678" s="109"/>
      <c r="D2678" s="268" t="s">
        <v>2116</v>
      </c>
      <c r="E2678" s="107">
        <v>1700000000</v>
      </c>
      <c r="F2678" s="221">
        <v>1697537000</v>
      </c>
      <c r="G2678" s="117">
        <f t="shared" si="165"/>
        <v>99.855117647058819</v>
      </c>
      <c r="H2678" s="182">
        <f t="shared" si="164"/>
        <v>99.855117647058819</v>
      </c>
      <c r="I2678" s="111"/>
    </row>
    <row r="2679" spans="3:9" ht="16.5" hidden="1" customHeight="1" x14ac:dyDescent="0.25">
      <c r="C2679" s="109"/>
      <c r="D2679" s="267" t="s">
        <v>2117</v>
      </c>
      <c r="E2679" s="120">
        <v>1700000000</v>
      </c>
      <c r="F2679" s="220">
        <f>F2680</f>
        <v>1678300000</v>
      </c>
      <c r="G2679" s="114">
        <f t="shared" si="165"/>
        <v>98.723529411764716</v>
      </c>
      <c r="H2679" s="182">
        <f t="shared" si="164"/>
        <v>98.723529411764716</v>
      </c>
      <c r="I2679" s="111"/>
    </row>
    <row r="2680" spans="3:9" ht="16.5" hidden="1" customHeight="1" x14ac:dyDescent="0.25">
      <c r="C2680" s="109"/>
      <c r="D2680" s="268" t="s">
        <v>2118</v>
      </c>
      <c r="E2680" s="107">
        <v>1700000000</v>
      </c>
      <c r="F2680" s="221">
        <v>1678300000</v>
      </c>
      <c r="G2680" s="117">
        <f t="shared" si="165"/>
        <v>98.723529411764716</v>
      </c>
      <c r="H2680" s="182">
        <f t="shared" si="164"/>
        <v>98.723529411764716</v>
      </c>
      <c r="I2680" s="111"/>
    </row>
    <row r="2681" spans="3:9" ht="16.5" hidden="1" customHeight="1" x14ac:dyDescent="0.25">
      <c r="C2681" s="109"/>
      <c r="D2681" s="249" t="s">
        <v>2119</v>
      </c>
      <c r="E2681" s="120">
        <f>E2682</f>
        <v>3114136112</v>
      </c>
      <c r="F2681" s="220">
        <f>F2682</f>
        <v>3103900000</v>
      </c>
      <c r="G2681" s="114">
        <f t="shared" si="165"/>
        <v>99.671301714765889</v>
      </c>
      <c r="H2681" s="182">
        <f t="shared" si="164"/>
        <v>99.671301714765889</v>
      </c>
      <c r="I2681" s="111"/>
    </row>
    <row r="2682" spans="3:9" ht="16.5" hidden="1" customHeight="1" x14ac:dyDescent="0.25">
      <c r="C2682" s="109"/>
      <c r="D2682" s="32" t="s">
        <v>1754</v>
      </c>
      <c r="E2682" s="107">
        <v>3114136112</v>
      </c>
      <c r="F2682" s="221">
        <v>3103900000</v>
      </c>
      <c r="G2682" s="117">
        <f t="shared" si="165"/>
        <v>99.671301714765889</v>
      </c>
      <c r="H2682" s="182">
        <f t="shared" si="164"/>
        <v>99.671301714765889</v>
      </c>
      <c r="I2682" s="111"/>
    </row>
    <row r="2683" spans="3:9" ht="16.5" hidden="1" customHeight="1" x14ac:dyDescent="0.25">
      <c r="C2683" s="109"/>
      <c r="D2683" s="268"/>
      <c r="E2683" s="107"/>
      <c r="F2683" s="108"/>
      <c r="G2683" s="114"/>
      <c r="H2683" s="182">
        <f t="shared" si="164"/>
        <v>0</v>
      </c>
      <c r="I2683" s="111"/>
    </row>
    <row r="2684" spans="3:9" ht="16.5" hidden="1" customHeight="1" x14ac:dyDescent="0.25">
      <c r="C2684" s="109"/>
      <c r="D2684" s="267" t="s">
        <v>2120</v>
      </c>
      <c r="E2684" s="120">
        <f>+E2685+E2687+E2690+E2692+E2694+E2698+E2701+E2704+E2706</f>
        <v>10000000000</v>
      </c>
      <c r="F2684" s="220">
        <f>F2685+F2687+F2690+F2692+F2694+F2698+F2701+F2704+F2706</f>
        <v>9161043684</v>
      </c>
      <c r="G2684" s="114">
        <f t="shared" ref="G2684:G2707" si="166">+F2684/E2684*100</f>
        <v>91.610436839999991</v>
      </c>
      <c r="H2684" s="182">
        <f t="shared" si="164"/>
        <v>91.610436839999991</v>
      </c>
      <c r="I2684" s="111"/>
    </row>
    <row r="2685" spans="3:9" ht="16.5" hidden="1" customHeight="1" x14ac:dyDescent="0.25">
      <c r="C2685" s="109"/>
      <c r="D2685" s="267" t="s">
        <v>766</v>
      </c>
      <c r="E2685" s="120">
        <v>557598300</v>
      </c>
      <c r="F2685" s="220">
        <f>F2686</f>
        <v>528697684</v>
      </c>
      <c r="G2685" s="114">
        <f t="shared" si="166"/>
        <v>94.816946895282854</v>
      </c>
      <c r="H2685" s="182">
        <f t="shared" si="164"/>
        <v>94.816946895282854</v>
      </c>
      <c r="I2685" s="111"/>
    </row>
    <row r="2686" spans="3:9" ht="16.5" hidden="1" customHeight="1" x14ac:dyDescent="0.25">
      <c r="C2686" s="109"/>
      <c r="D2686" s="268" t="s">
        <v>2121</v>
      </c>
      <c r="E2686" s="107">
        <v>557598300</v>
      </c>
      <c r="F2686" s="221">
        <v>528697684</v>
      </c>
      <c r="G2686" s="117">
        <f t="shared" si="166"/>
        <v>94.816946895282854</v>
      </c>
      <c r="H2686" s="182">
        <f t="shared" si="164"/>
        <v>94.816946895282854</v>
      </c>
      <c r="I2686" s="111"/>
    </row>
    <row r="2687" spans="3:9" ht="16.5" hidden="1" customHeight="1" x14ac:dyDescent="0.25">
      <c r="C2687" s="109"/>
      <c r="D2687" s="267" t="s">
        <v>418</v>
      </c>
      <c r="E2687" s="120">
        <v>662281700</v>
      </c>
      <c r="F2687" s="220">
        <f>SUM(F2688:F2689)</f>
        <v>662006000</v>
      </c>
      <c r="G2687" s="114">
        <f t="shared" si="166"/>
        <v>99.95837118857429</v>
      </c>
      <c r="H2687" s="182">
        <f t="shared" si="164"/>
        <v>99.95837118857429</v>
      </c>
      <c r="I2687" s="111"/>
    </row>
    <row r="2688" spans="3:9" ht="16.5" hidden="1" customHeight="1" x14ac:dyDescent="0.25">
      <c r="C2688" s="109"/>
      <c r="D2688" s="268" t="s">
        <v>2122</v>
      </c>
      <c r="E2688" s="107">
        <v>510600000</v>
      </c>
      <c r="F2688" s="221">
        <v>510326000</v>
      </c>
      <c r="G2688" s="117">
        <f t="shared" si="166"/>
        <v>99.946337641989814</v>
      </c>
      <c r="H2688" s="182">
        <f t="shared" si="164"/>
        <v>99.946337641989814</v>
      </c>
      <c r="I2688" s="111"/>
    </row>
    <row r="2689" spans="3:9" ht="16.5" hidden="1" customHeight="1" x14ac:dyDescent="0.25">
      <c r="C2689" s="109"/>
      <c r="D2689" s="268" t="s">
        <v>2123</v>
      </c>
      <c r="E2689" s="107">
        <v>151681700</v>
      </c>
      <c r="F2689" s="221">
        <v>151680000</v>
      </c>
      <c r="G2689" s="117">
        <f t="shared" si="166"/>
        <v>99.998879231970633</v>
      </c>
      <c r="H2689" s="182">
        <f t="shared" si="164"/>
        <v>99.998879231970633</v>
      </c>
      <c r="I2689" s="111"/>
    </row>
    <row r="2690" spans="3:9" ht="16.5" hidden="1" customHeight="1" x14ac:dyDescent="0.25">
      <c r="C2690" s="109"/>
      <c r="D2690" s="267" t="s">
        <v>768</v>
      </c>
      <c r="E2690" s="120">
        <v>800000000</v>
      </c>
      <c r="F2690" s="220">
        <f>F2691</f>
        <v>799000000</v>
      </c>
      <c r="G2690" s="114">
        <f t="shared" si="166"/>
        <v>99.875</v>
      </c>
      <c r="H2690" s="182">
        <f t="shared" si="164"/>
        <v>99.875</v>
      </c>
      <c r="I2690" s="111"/>
    </row>
    <row r="2691" spans="3:9" ht="16.5" hidden="1" customHeight="1" x14ac:dyDescent="0.25">
      <c r="C2691" s="109"/>
      <c r="D2691" s="268" t="s">
        <v>2124</v>
      </c>
      <c r="E2691" s="107">
        <v>800000000</v>
      </c>
      <c r="F2691" s="221">
        <v>799000000</v>
      </c>
      <c r="G2691" s="117">
        <f t="shared" si="166"/>
        <v>99.875</v>
      </c>
      <c r="H2691" s="182">
        <f t="shared" si="164"/>
        <v>99.875</v>
      </c>
      <c r="I2691" s="111"/>
    </row>
    <row r="2692" spans="3:9" ht="16.5" hidden="1" customHeight="1" x14ac:dyDescent="0.25">
      <c r="C2692" s="109"/>
      <c r="D2692" s="267" t="s">
        <v>1308</v>
      </c>
      <c r="E2692" s="120">
        <v>980120000</v>
      </c>
      <c r="F2692" s="220">
        <f>F2693</f>
        <v>975200000</v>
      </c>
      <c r="G2692" s="114">
        <f t="shared" si="166"/>
        <v>99.498020650532595</v>
      </c>
      <c r="H2692" s="182">
        <f t="shared" si="164"/>
        <v>99.498020650532595</v>
      </c>
      <c r="I2692" s="111"/>
    </row>
    <row r="2693" spans="3:9" ht="18.75" hidden="1" customHeight="1" x14ac:dyDescent="0.25">
      <c r="C2693" s="109"/>
      <c r="D2693" s="268" t="s">
        <v>2125</v>
      </c>
      <c r="E2693" s="107">
        <v>980120000</v>
      </c>
      <c r="F2693" s="221">
        <v>975200000</v>
      </c>
      <c r="G2693" s="117">
        <f t="shared" si="166"/>
        <v>99.498020650532595</v>
      </c>
      <c r="H2693" s="182">
        <f t="shared" si="164"/>
        <v>99.498020650532595</v>
      </c>
      <c r="I2693" s="111"/>
    </row>
    <row r="2694" spans="3:9" ht="18.75" hidden="1" customHeight="1" x14ac:dyDescent="0.25">
      <c r="C2694" s="109"/>
      <c r="D2694" s="267" t="s">
        <v>319</v>
      </c>
      <c r="E2694" s="120">
        <f>SUM(E2695:E2697)</f>
        <v>2210067500</v>
      </c>
      <c r="F2694" s="220">
        <f>SUM(F2695:F2697)</f>
        <v>2150420000</v>
      </c>
      <c r="G2694" s="114">
        <f t="shared" si="166"/>
        <v>97.301100531997335</v>
      </c>
      <c r="H2694" s="182">
        <f t="shared" si="164"/>
        <v>97.301100531997335</v>
      </c>
      <c r="I2694" s="111"/>
    </row>
    <row r="2695" spans="3:9" ht="18.75" hidden="1" customHeight="1" x14ac:dyDescent="0.25">
      <c r="C2695" s="109"/>
      <c r="D2695" s="268" t="s">
        <v>2126</v>
      </c>
      <c r="E2695" s="107">
        <v>267500000</v>
      </c>
      <c r="F2695" s="221">
        <v>245000000</v>
      </c>
      <c r="G2695" s="117">
        <f t="shared" si="166"/>
        <v>91.588785046728972</v>
      </c>
      <c r="H2695" s="182">
        <f t="shared" si="164"/>
        <v>91.588785046728972</v>
      </c>
      <c r="I2695" s="111"/>
    </row>
    <row r="2696" spans="3:9" ht="18.75" hidden="1" customHeight="1" x14ac:dyDescent="0.25">
      <c r="C2696" s="109"/>
      <c r="D2696" s="268" t="s">
        <v>2127</v>
      </c>
      <c r="E2696" s="107">
        <v>114750000</v>
      </c>
      <c r="F2696" s="221">
        <v>83800000</v>
      </c>
      <c r="G2696" s="117">
        <f t="shared" si="166"/>
        <v>73.028322440087152</v>
      </c>
      <c r="H2696" s="182">
        <f t="shared" si="164"/>
        <v>73.028322440087152</v>
      </c>
      <c r="I2696" s="111"/>
    </row>
    <row r="2697" spans="3:9" ht="16.5" hidden="1" customHeight="1" x14ac:dyDescent="0.25">
      <c r="C2697" s="109"/>
      <c r="D2697" s="268" t="s">
        <v>2128</v>
      </c>
      <c r="E2697" s="107">
        <v>1827817500</v>
      </c>
      <c r="F2697" s="221">
        <v>1821620000</v>
      </c>
      <c r="G2697" s="117">
        <f t="shared" si="166"/>
        <v>99.660934420422166</v>
      </c>
      <c r="H2697" s="182">
        <f t="shared" si="164"/>
        <v>99.660934420422166</v>
      </c>
      <c r="I2697" s="111"/>
    </row>
    <row r="2698" spans="3:9" ht="16.5" hidden="1" customHeight="1" x14ac:dyDescent="0.25">
      <c r="C2698" s="109"/>
      <c r="D2698" s="267" t="s">
        <v>468</v>
      </c>
      <c r="E2698" s="120">
        <f>SUM(E2699:E2700)</f>
        <v>1707377400</v>
      </c>
      <c r="F2698" s="220">
        <f>SUM(F2699:F2700)</f>
        <v>1699438000</v>
      </c>
      <c r="G2698" s="114">
        <f t="shared" si="166"/>
        <v>99.534994430639642</v>
      </c>
      <c r="H2698" s="182">
        <f t="shared" si="164"/>
        <v>99.534994430639642</v>
      </c>
      <c r="I2698" s="111"/>
    </row>
    <row r="2699" spans="3:9" ht="16.5" hidden="1" customHeight="1" x14ac:dyDescent="0.25">
      <c r="C2699" s="109"/>
      <c r="D2699" s="268" t="s">
        <v>2129</v>
      </c>
      <c r="E2699" s="107">
        <v>978124400</v>
      </c>
      <c r="F2699" s="221">
        <v>977125000</v>
      </c>
      <c r="G2699" s="117">
        <f t="shared" si="166"/>
        <v>99.897824857451667</v>
      </c>
      <c r="H2699" s="182">
        <f t="shared" si="164"/>
        <v>99.897824857451667</v>
      </c>
      <c r="I2699" s="111"/>
    </row>
    <row r="2700" spans="3:9" ht="16.5" hidden="1" customHeight="1" x14ac:dyDescent="0.25">
      <c r="C2700" s="109"/>
      <c r="D2700" s="268" t="s">
        <v>2130</v>
      </c>
      <c r="E2700" s="107">
        <v>729253000</v>
      </c>
      <c r="F2700" s="221">
        <v>722313000</v>
      </c>
      <c r="G2700" s="117">
        <f t="shared" si="166"/>
        <v>99.048341247824837</v>
      </c>
      <c r="H2700" s="182">
        <f t="shared" si="164"/>
        <v>99.048341247824837</v>
      </c>
      <c r="I2700" s="111"/>
    </row>
    <row r="2701" spans="3:9" ht="16.5" hidden="1" customHeight="1" x14ac:dyDescent="0.25">
      <c r="C2701" s="109"/>
      <c r="D2701" s="267" t="s">
        <v>517</v>
      </c>
      <c r="E2701" s="120">
        <f>SUM(E2702:E2703)</f>
        <v>748336000</v>
      </c>
      <c r="F2701" s="220">
        <f>SUM(F2702:F2703)</f>
        <v>732749000</v>
      </c>
      <c r="G2701" s="114">
        <f t="shared" si="166"/>
        <v>97.917112099377817</v>
      </c>
      <c r="H2701" s="182">
        <f t="shared" si="164"/>
        <v>97.917112099377817</v>
      </c>
      <c r="I2701" s="111"/>
    </row>
    <row r="2702" spans="3:9" ht="16.5" hidden="1" customHeight="1" x14ac:dyDescent="0.25">
      <c r="C2702" s="109"/>
      <c r="D2702" s="268" t="s">
        <v>2131</v>
      </c>
      <c r="E2702" s="107">
        <v>518736000</v>
      </c>
      <c r="F2702" s="221">
        <v>510300000</v>
      </c>
      <c r="G2702" s="117">
        <f t="shared" si="166"/>
        <v>98.373739243083193</v>
      </c>
      <c r="H2702" s="182">
        <f t="shared" si="164"/>
        <v>98.373739243083193</v>
      </c>
      <c r="I2702" s="111"/>
    </row>
    <row r="2703" spans="3:9" ht="16.5" hidden="1" customHeight="1" x14ac:dyDescent="0.25">
      <c r="C2703" s="109"/>
      <c r="D2703" s="268" t="s">
        <v>2132</v>
      </c>
      <c r="E2703" s="107">
        <v>229600000</v>
      </c>
      <c r="F2703" s="221">
        <v>222449000</v>
      </c>
      <c r="G2703" s="117">
        <f t="shared" si="166"/>
        <v>96.88545296167247</v>
      </c>
      <c r="H2703" s="182">
        <f t="shared" si="164"/>
        <v>96.88545296167247</v>
      </c>
      <c r="I2703" s="111"/>
    </row>
    <row r="2704" spans="3:9" ht="16.5" hidden="1" customHeight="1" x14ac:dyDescent="0.25">
      <c r="C2704" s="109"/>
      <c r="D2704" s="267" t="s">
        <v>1650</v>
      </c>
      <c r="E2704" s="120">
        <f>E2705</f>
        <v>1751664000</v>
      </c>
      <c r="F2704" s="220">
        <f>F2705</f>
        <v>1613533000</v>
      </c>
      <c r="G2704" s="114">
        <f t="shared" si="166"/>
        <v>92.114298175905887</v>
      </c>
      <c r="H2704" s="182">
        <f t="shared" si="164"/>
        <v>92.114298175905887</v>
      </c>
      <c r="I2704" s="111"/>
    </row>
    <row r="2705" spans="3:9" ht="16.5" hidden="1" customHeight="1" x14ac:dyDescent="0.25">
      <c r="C2705" s="109"/>
      <c r="D2705" s="268" t="s">
        <v>2133</v>
      </c>
      <c r="E2705" s="107">
        <v>1751664000</v>
      </c>
      <c r="F2705" s="221">
        <v>1613533000</v>
      </c>
      <c r="G2705" s="117">
        <f t="shared" si="166"/>
        <v>92.114298175905887</v>
      </c>
      <c r="H2705" s="182">
        <f t="shared" si="164"/>
        <v>92.114298175905887</v>
      </c>
      <c r="I2705" s="111"/>
    </row>
    <row r="2706" spans="3:9" ht="16.5" hidden="1" customHeight="1" x14ac:dyDescent="0.25">
      <c r="C2706" s="109"/>
      <c r="D2706" s="267" t="s">
        <v>776</v>
      </c>
      <c r="E2706" s="120">
        <v>582555100</v>
      </c>
      <c r="F2706" s="220">
        <f>F2707</f>
        <v>0</v>
      </c>
      <c r="G2706" s="117">
        <f t="shared" si="166"/>
        <v>0</v>
      </c>
      <c r="H2706" s="182">
        <f t="shared" si="164"/>
        <v>0</v>
      </c>
      <c r="I2706" s="111"/>
    </row>
    <row r="2707" spans="3:9" ht="16.5" hidden="1" customHeight="1" x14ac:dyDescent="0.25">
      <c r="C2707" s="109"/>
      <c r="D2707" s="268" t="s">
        <v>2134</v>
      </c>
      <c r="E2707" s="107">
        <v>582555100</v>
      </c>
      <c r="F2707" s="221"/>
      <c r="G2707" s="117">
        <f t="shared" si="166"/>
        <v>0</v>
      </c>
      <c r="H2707" s="182">
        <f t="shared" si="164"/>
        <v>0</v>
      </c>
      <c r="I2707" s="111"/>
    </row>
    <row r="2708" spans="3:9" ht="16.5" hidden="1" customHeight="1" x14ac:dyDescent="0.25">
      <c r="C2708" s="109"/>
      <c r="D2708" s="268"/>
      <c r="E2708" s="107"/>
      <c r="F2708" s="108"/>
      <c r="G2708" s="114"/>
      <c r="H2708" s="182"/>
      <c r="I2708" s="111"/>
    </row>
    <row r="2709" spans="3:9" ht="16.5" hidden="1" customHeight="1" x14ac:dyDescent="0.25">
      <c r="C2709" s="109"/>
      <c r="D2709" s="267" t="s">
        <v>2135</v>
      </c>
      <c r="E2709" s="120">
        <f>+E2710+E2713+E2716+E2720</f>
        <v>5000000000</v>
      </c>
      <c r="F2709" s="220">
        <f>+F2710+F2713+F2716+F2720</f>
        <v>4862698000</v>
      </c>
      <c r="G2709" s="114">
        <f t="shared" ref="G2709:G2721" si="167">+F2709/E2709*100</f>
        <v>97.253959999999992</v>
      </c>
      <c r="H2709" s="182">
        <f t="shared" si="164"/>
        <v>97.253959999999992</v>
      </c>
      <c r="I2709" s="111"/>
    </row>
    <row r="2710" spans="3:9" ht="16.5" hidden="1" customHeight="1" x14ac:dyDescent="0.25">
      <c r="C2710" s="109"/>
      <c r="D2710" s="267" t="s">
        <v>464</v>
      </c>
      <c r="E2710" s="120">
        <f>+E2711+E2712</f>
        <v>1241076502</v>
      </c>
      <c r="F2710" s="220">
        <f>SUM(F2711:F2712)</f>
        <v>1142900000</v>
      </c>
      <c r="G2710" s="114">
        <f t="shared" si="167"/>
        <v>92.089407716463228</v>
      </c>
      <c r="H2710" s="182">
        <f t="shared" si="164"/>
        <v>92.089407716463228</v>
      </c>
      <c r="I2710" s="111"/>
    </row>
    <row r="2711" spans="3:9" ht="35.25" hidden="1" customHeight="1" x14ac:dyDescent="0.25">
      <c r="C2711" s="109"/>
      <c r="D2711" s="268" t="s">
        <v>2136</v>
      </c>
      <c r="E2711" s="107">
        <v>1143088760</v>
      </c>
      <c r="F2711" s="221">
        <v>1142900000</v>
      </c>
      <c r="G2711" s="117">
        <f t="shared" si="167"/>
        <v>99.983486846638229</v>
      </c>
      <c r="H2711" s="182">
        <f t="shared" si="164"/>
        <v>99.983486846638229</v>
      </c>
      <c r="I2711" s="111"/>
    </row>
    <row r="2712" spans="3:9" ht="35.25" hidden="1" customHeight="1" x14ac:dyDescent="0.25">
      <c r="C2712" s="109"/>
      <c r="D2712" s="268" t="s">
        <v>2137</v>
      </c>
      <c r="E2712" s="107">
        <v>97987742</v>
      </c>
      <c r="F2712" s="221"/>
      <c r="G2712" s="117">
        <f t="shared" si="167"/>
        <v>0</v>
      </c>
      <c r="H2712" s="182">
        <f t="shared" si="164"/>
        <v>0</v>
      </c>
      <c r="I2712" s="111"/>
    </row>
    <row r="2713" spans="3:9" ht="16.5" hidden="1" customHeight="1" x14ac:dyDescent="0.25">
      <c r="C2713" s="109"/>
      <c r="D2713" s="267" t="s">
        <v>468</v>
      </c>
      <c r="E2713" s="120">
        <v>509067998</v>
      </c>
      <c r="F2713" s="220">
        <f>SUM(F2714:F2715)</f>
        <v>477198000</v>
      </c>
      <c r="G2713" s="114">
        <f t="shared" si="167"/>
        <v>93.739540076137331</v>
      </c>
      <c r="H2713" s="182">
        <f t="shared" si="164"/>
        <v>93.739540076137331</v>
      </c>
      <c r="I2713" s="111"/>
    </row>
    <row r="2714" spans="3:9" ht="16.5" hidden="1" customHeight="1" x14ac:dyDescent="0.25">
      <c r="C2714" s="109"/>
      <c r="D2714" s="268" t="s">
        <v>2129</v>
      </c>
      <c r="E2714" s="107">
        <v>388069998</v>
      </c>
      <c r="F2714" s="221">
        <v>387900000</v>
      </c>
      <c r="G2714" s="117">
        <f t="shared" si="167"/>
        <v>99.956193985395387</v>
      </c>
      <c r="H2714" s="182">
        <f t="shared" si="164"/>
        <v>99.956193985395387</v>
      </c>
      <c r="I2714" s="111"/>
    </row>
    <row r="2715" spans="3:9" ht="16.5" hidden="1" customHeight="1" x14ac:dyDescent="0.25">
      <c r="C2715" s="109"/>
      <c r="D2715" s="268" t="s">
        <v>2130</v>
      </c>
      <c r="E2715" s="107">
        <v>120998000</v>
      </c>
      <c r="F2715" s="221">
        <v>89298000</v>
      </c>
      <c r="G2715" s="117">
        <f t="shared" si="167"/>
        <v>73.801219854873636</v>
      </c>
      <c r="H2715" s="182">
        <f t="shared" si="164"/>
        <v>73.801219854873636</v>
      </c>
      <c r="I2715" s="111"/>
    </row>
    <row r="2716" spans="3:9" ht="16.5" hidden="1" customHeight="1" x14ac:dyDescent="0.25">
      <c r="C2716" s="109"/>
      <c r="D2716" s="267" t="s">
        <v>1652</v>
      </c>
      <c r="E2716" s="120">
        <v>1835518800</v>
      </c>
      <c r="F2716" s="220">
        <f>SUM(F2717:F2719)</f>
        <v>1834800000</v>
      </c>
      <c r="G2716" s="114">
        <f t="shared" si="167"/>
        <v>99.96083940954459</v>
      </c>
      <c r="H2716" s="182">
        <f t="shared" si="164"/>
        <v>99.96083940954459</v>
      </c>
      <c r="I2716" s="111"/>
    </row>
    <row r="2717" spans="3:9" ht="16.5" hidden="1" customHeight="1" x14ac:dyDescent="0.25">
      <c r="C2717" s="109"/>
      <c r="D2717" s="268" t="s">
        <v>2138</v>
      </c>
      <c r="E2717" s="107">
        <v>320000000</v>
      </c>
      <c r="F2717" s="221">
        <v>320000000</v>
      </c>
      <c r="G2717" s="117">
        <f t="shared" si="167"/>
        <v>100</v>
      </c>
      <c r="H2717" s="182">
        <f t="shared" si="164"/>
        <v>100</v>
      </c>
      <c r="I2717" s="111"/>
    </row>
    <row r="2718" spans="3:9" ht="16.5" hidden="1" customHeight="1" x14ac:dyDescent="0.25">
      <c r="C2718" s="109"/>
      <c r="D2718" s="268" t="s">
        <v>2139</v>
      </c>
      <c r="E2718" s="107">
        <v>1360112000</v>
      </c>
      <c r="F2718" s="221">
        <v>1359500000</v>
      </c>
      <c r="G2718" s="117">
        <f t="shared" si="167"/>
        <v>99.955003705577184</v>
      </c>
      <c r="H2718" s="182">
        <f t="shared" si="164"/>
        <v>99.955003705577184</v>
      </c>
      <c r="I2718" s="111"/>
    </row>
    <row r="2719" spans="3:9" ht="16.5" hidden="1" customHeight="1" x14ac:dyDescent="0.25">
      <c r="C2719" s="109"/>
      <c r="D2719" s="268" t="s">
        <v>2140</v>
      </c>
      <c r="E2719" s="107">
        <v>155406800</v>
      </c>
      <c r="F2719" s="221">
        <v>155300000</v>
      </c>
      <c r="G2719" s="117">
        <f t="shared" si="167"/>
        <v>99.931277138452117</v>
      </c>
      <c r="H2719" s="182">
        <f t="shared" si="164"/>
        <v>99.931277138452117</v>
      </c>
      <c r="I2719" s="111"/>
    </row>
    <row r="2720" spans="3:9" ht="16.5" hidden="1" customHeight="1" x14ac:dyDescent="0.25">
      <c r="C2720" s="109"/>
      <c r="D2720" s="267" t="s">
        <v>2141</v>
      </c>
      <c r="E2720" s="120">
        <v>1414336700</v>
      </c>
      <c r="F2720" s="220">
        <f>F2721</f>
        <v>1407800000</v>
      </c>
      <c r="G2720" s="114">
        <f t="shared" si="167"/>
        <v>99.537825752524128</v>
      </c>
      <c r="H2720" s="182">
        <f t="shared" si="164"/>
        <v>99.537825752524128</v>
      </c>
      <c r="I2720" s="111"/>
    </row>
    <row r="2721" spans="3:9" ht="16.5" hidden="1" customHeight="1" x14ac:dyDescent="0.25">
      <c r="C2721" s="109"/>
      <c r="D2721" s="268" t="s">
        <v>2134</v>
      </c>
      <c r="E2721" s="107">
        <v>1414336700</v>
      </c>
      <c r="F2721" s="221">
        <v>1407800000</v>
      </c>
      <c r="G2721" s="117">
        <f t="shared" si="167"/>
        <v>99.537825752524128</v>
      </c>
      <c r="H2721" s="182">
        <f t="shared" si="164"/>
        <v>99.537825752524128</v>
      </c>
      <c r="I2721" s="111"/>
    </row>
    <row r="2722" spans="3:9" ht="16.5" hidden="1" customHeight="1" x14ac:dyDescent="0.25">
      <c r="C2722" s="109"/>
      <c r="D2722" s="268"/>
      <c r="E2722" s="107"/>
      <c r="F2722" s="221"/>
      <c r="G2722" s="114"/>
      <c r="H2722" s="182"/>
      <c r="I2722" s="111"/>
    </row>
    <row r="2723" spans="3:9" ht="21" hidden="1" customHeight="1" x14ac:dyDescent="0.25">
      <c r="C2723" s="109"/>
      <c r="D2723" s="267" t="s">
        <v>2142</v>
      </c>
      <c r="E2723" s="120">
        <f>+E2724</f>
        <v>2009130900</v>
      </c>
      <c r="F2723" s="220">
        <f>F2724</f>
        <v>1844287600</v>
      </c>
      <c r="G2723" s="114">
        <f>+F2723/E2723*100</f>
        <v>91.795293178757049</v>
      </c>
      <c r="H2723" s="182">
        <f t="shared" si="164"/>
        <v>91.795293178757049</v>
      </c>
      <c r="I2723" s="111"/>
    </row>
    <row r="2724" spans="3:9" ht="16.5" hidden="1" customHeight="1" x14ac:dyDescent="0.25">
      <c r="C2724" s="109"/>
      <c r="D2724" s="267" t="s">
        <v>792</v>
      </c>
      <c r="E2724" s="120">
        <f>+E2725+E2726</f>
        <v>2009130900</v>
      </c>
      <c r="F2724" s="220">
        <f>SUM(F2725:F2726)</f>
        <v>1844287600</v>
      </c>
      <c r="G2724" s="114">
        <f>+F2724/E2724*100</f>
        <v>91.795293178757049</v>
      </c>
      <c r="H2724" s="182">
        <f t="shared" si="164"/>
        <v>91.795293178757049</v>
      </c>
      <c r="I2724" s="111"/>
    </row>
    <row r="2725" spans="3:9" ht="16.5" hidden="1" customHeight="1" x14ac:dyDescent="0.25">
      <c r="C2725" s="109"/>
      <c r="D2725" s="268" t="s">
        <v>794</v>
      </c>
      <c r="E2725" s="107">
        <v>1509130900</v>
      </c>
      <c r="F2725" s="221">
        <v>1346012600</v>
      </c>
      <c r="G2725" s="117">
        <f>+F2725/E2725*100</f>
        <v>89.191242456171295</v>
      </c>
      <c r="H2725" s="182">
        <f t="shared" si="164"/>
        <v>89.191242456171295</v>
      </c>
      <c r="I2725" s="111"/>
    </row>
    <row r="2726" spans="3:9" ht="16.5" hidden="1" customHeight="1" x14ac:dyDescent="0.25">
      <c r="C2726" s="109"/>
      <c r="D2726" s="268" t="s">
        <v>2143</v>
      </c>
      <c r="E2726" s="107">
        <v>500000000</v>
      </c>
      <c r="F2726" s="221">
        <v>498275000</v>
      </c>
      <c r="G2726" s="117">
        <f>+F2726/E2726*100</f>
        <v>99.655000000000001</v>
      </c>
      <c r="H2726" s="182">
        <f t="shared" ref="H2726" si="168">+G2726</f>
        <v>99.655000000000001</v>
      </c>
      <c r="I2726" s="111"/>
    </row>
    <row r="2727" spans="3:9" ht="16.5" hidden="1" customHeight="1" x14ac:dyDescent="0.25">
      <c r="C2727" s="109"/>
      <c r="D2727" s="268"/>
      <c r="E2727" s="107"/>
      <c r="F2727" s="221"/>
      <c r="G2727" s="445"/>
      <c r="H2727" s="446"/>
      <c r="I2727" s="111"/>
    </row>
    <row r="2728" spans="3:9" ht="16.5" hidden="1" customHeight="1" x14ac:dyDescent="0.25">
      <c r="C2728" s="109"/>
      <c r="D2728" s="269" t="s">
        <v>2144</v>
      </c>
      <c r="E2728" s="120">
        <f>E2729</f>
        <v>11272449888</v>
      </c>
      <c r="F2728" s="113">
        <f>F2729</f>
        <v>11272449888</v>
      </c>
      <c r="G2728" s="114">
        <f t="shared" ref="G2728:G2737" si="169">+F2728/E2728*100</f>
        <v>100</v>
      </c>
      <c r="H2728" s="117">
        <f>H2729</f>
        <v>100</v>
      </c>
      <c r="I2728" s="111"/>
    </row>
    <row r="2729" spans="3:9" s="57" customFormat="1" ht="16.5" hidden="1" customHeight="1" x14ac:dyDescent="0.25">
      <c r="C2729" s="109"/>
      <c r="D2729" s="269" t="s">
        <v>1043</v>
      </c>
      <c r="E2729" s="120">
        <f>E2730</f>
        <v>11272449888</v>
      </c>
      <c r="F2729" s="113">
        <f>F2730</f>
        <v>11272449888</v>
      </c>
      <c r="G2729" s="114">
        <f t="shared" si="169"/>
        <v>100</v>
      </c>
      <c r="H2729" s="117">
        <v>100</v>
      </c>
      <c r="I2729" s="111"/>
    </row>
    <row r="2730" spans="3:9" ht="16.5" hidden="1" customHeight="1" x14ac:dyDescent="0.25">
      <c r="C2730" s="109"/>
      <c r="D2730" s="268" t="s">
        <v>1810</v>
      </c>
      <c r="E2730" s="120">
        <f>SUM(E2731:E2737)</f>
        <v>11272449888</v>
      </c>
      <c r="F2730" s="113">
        <v>11272449888</v>
      </c>
      <c r="G2730" s="114">
        <f t="shared" si="169"/>
        <v>100</v>
      </c>
      <c r="H2730" s="117">
        <v>100</v>
      </c>
      <c r="I2730" s="111"/>
    </row>
    <row r="2731" spans="3:9" ht="16.5" hidden="1" customHeight="1" x14ac:dyDescent="0.25">
      <c r="C2731" s="109"/>
      <c r="D2731" s="268" t="s">
        <v>2145</v>
      </c>
      <c r="E2731" s="107">
        <v>4454345888</v>
      </c>
      <c r="F2731" s="108">
        <v>4454345888</v>
      </c>
      <c r="G2731" s="117">
        <f t="shared" si="169"/>
        <v>100</v>
      </c>
      <c r="H2731" s="117">
        <v>100</v>
      </c>
      <c r="I2731" s="111"/>
    </row>
    <row r="2732" spans="3:9" ht="16.5" hidden="1" customHeight="1" x14ac:dyDescent="0.25">
      <c r="C2732" s="109"/>
      <c r="D2732" s="268" t="s">
        <v>2146</v>
      </c>
      <c r="E2732" s="107">
        <v>448000000</v>
      </c>
      <c r="F2732" s="108">
        <v>448000000</v>
      </c>
      <c r="G2732" s="117">
        <f t="shared" si="169"/>
        <v>100</v>
      </c>
      <c r="H2732" s="117">
        <v>100</v>
      </c>
      <c r="I2732" s="111"/>
    </row>
    <row r="2733" spans="3:9" ht="16.5" hidden="1" customHeight="1" x14ac:dyDescent="0.25">
      <c r="C2733" s="109"/>
      <c r="D2733" s="268" t="s">
        <v>2147</v>
      </c>
      <c r="E2733" s="107">
        <v>1793220000</v>
      </c>
      <c r="F2733" s="108">
        <v>1793220000</v>
      </c>
      <c r="G2733" s="117">
        <f t="shared" si="169"/>
        <v>100</v>
      </c>
      <c r="H2733" s="117">
        <v>100</v>
      </c>
      <c r="I2733" s="111"/>
    </row>
    <row r="2734" spans="3:9" ht="16.5" hidden="1" customHeight="1" x14ac:dyDescent="0.25">
      <c r="C2734" s="109"/>
      <c r="D2734" s="268" t="s">
        <v>2148</v>
      </c>
      <c r="E2734" s="107">
        <v>636684000</v>
      </c>
      <c r="F2734" s="108">
        <v>636684000</v>
      </c>
      <c r="G2734" s="117">
        <f t="shared" si="169"/>
        <v>100</v>
      </c>
      <c r="H2734" s="117">
        <v>100</v>
      </c>
      <c r="I2734" s="111"/>
    </row>
    <row r="2735" spans="3:9" ht="16.5" hidden="1" customHeight="1" x14ac:dyDescent="0.25">
      <c r="C2735" s="109"/>
      <c r="D2735" s="268" t="s">
        <v>2149</v>
      </c>
      <c r="E2735" s="107">
        <v>1683000000</v>
      </c>
      <c r="F2735" s="108">
        <v>1683000000</v>
      </c>
      <c r="G2735" s="117">
        <f t="shared" si="169"/>
        <v>100</v>
      </c>
      <c r="H2735" s="117">
        <v>100</v>
      </c>
      <c r="I2735" s="111"/>
    </row>
    <row r="2736" spans="3:9" ht="16.5" hidden="1" customHeight="1" x14ac:dyDescent="0.25">
      <c r="C2736" s="109"/>
      <c r="D2736" s="268" t="s">
        <v>2150</v>
      </c>
      <c r="E2736" s="107">
        <v>300000000</v>
      </c>
      <c r="F2736" s="108">
        <v>300000000</v>
      </c>
      <c r="G2736" s="117">
        <f t="shared" si="169"/>
        <v>100</v>
      </c>
      <c r="H2736" s="117">
        <v>100</v>
      </c>
      <c r="I2736" s="111"/>
    </row>
    <row r="2737" spans="3:9" ht="35.25" hidden="1" customHeight="1" x14ac:dyDescent="0.25">
      <c r="C2737" s="109"/>
      <c r="D2737" s="268" t="s">
        <v>1379</v>
      </c>
      <c r="E2737" s="107">
        <v>1957200000</v>
      </c>
      <c r="F2737" s="108">
        <v>1957200000</v>
      </c>
      <c r="G2737" s="117">
        <f t="shared" si="169"/>
        <v>100</v>
      </c>
      <c r="H2737" s="117">
        <v>100</v>
      </c>
      <c r="I2737" s="111"/>
    </row>
    <row r="2738" spans="3:9" ht="16.5" hidden="1" customHeight="1" x14ac:dyDescent="0.25">
      <c r="C2738" s="109"/>
      <c r="D2738" s="119"/>
      <c r="E2738" s="107"/>
      <c r="F2738" s="108"/>
      <c r="G2738" s="117"/>
      <c r="H2738" s="117"/>
      <c r="I2738" s="111"/>
    </row>
    <row r="2739" spans="3:9" s="115" customFormat="1" ht="16.5" customHeight="1" x14ac:dyDescent="0.25">
      <c r="C2739" s="159">
        <v>11</v>
      </c>
      <c r="D2739" s="217" t="s">
        <v>2151</v>
      </c>
      <c r="E2739" s="112">
        <f>+E2740+E2772+E2807+E2813+E2819+E2828+E2836+E2840+E2844+E2848+E2857+E2870+E2878+E2884+E2888</f>
        <v>104091290000</v>
      </c>
      <c r="F2739" s="113">
        <f>+F2740+F2772+F2807+F2813+F2819+F2828+F2836+F2840+F2844+F2848+F2857+F2870+F2878+F2884+F2888</f>
        <v>97142158701</v>
      </c>
      <c r="G2739" s="114">
        <f t="shared" ref="G2739:G2770" si="170">+F2739/E2739*100</f>
        <v>93.324003094783436</v>
      </c>
      <c r="H2739" s="114">
        <f>(+H2740+H2772+H2807+H2813+H2819+H2828+H2836+H2840+H2844+H2848+H2857+H2870+H2878+H2884+H2888)/15</f>
        <v>94.800283950617285</v>
      </c>
      <c r="I2739" s="121" t="s">
        <v>677</v>
      </c>
    </row>
    <row r="2740" spans="3:9" s="115" customFormat="1" ht="16.5" hidden="1" customHeight="1" x14ac:dyDescent="0.25">
      <c r="C2740" s="159"/>
      <c r="D2740" s="447" t="s">
        <v>2152</v>
      </c>
      <c r="E2740" s="448">
        <f>+E2741+E2744+E2755+E2764+E2769</f>
        <v>31227387000</v>
      </c>
      <c r="F2740" s="254">
        <f>+F2741+F2755+F2764+F2769+F2744</f>
        <v>28701341300</v>
      </c>
      <c r="G2740" s="114">
        <f t="shared" si="170"/>
        <v>91.910800285659505</v>
      </c>
      <c r="H2740" s="449">
        <f>(+H2741+H2744+H2755+H2764+H2769)/5</f>
        <v>86.64500000000001</v>
      </c>
      <c r="I2740" s="121"/>
    </row>
    <row r="2741" spans="3:9" s="115" customFormat="1" ht="16.5" hidden="1" customHeight="1" x14ac:dyDescent="0.25">
      <c r="C2741" s="159"/>
      <c r="D2741" s="450" t="s">
        <v>1862</v>
      </c>
      <c r="E2741" s="451">
        <f>+E2742+E2743</f>
        <v>1561350000</v>
      </c>
      <c r="F2741" s="113">
        <f>SUM(F2742:F2743)</f>
        <v>1558600000</v>
      </c>
      <c r="G2741" s="114">
        <f t="shared" si="170"/>
        <v>99.823870368591287</v>
      </c>
      <c r="H2741" s="452">
        <f>(H2742+H2742)/2</f>
        <v>100</v>
      </c>
      <c r="I2741" s="121"/>
    </row>
    <row r="2742" spans="3:9" ht="16.5" hidden="1" customHeight="1" x14ac:dyDescent="0.25">
      <c r="C2742" s="109"/>
      <c r="D2742" s="453" t="s">
        <v>2153</v>
      </c>
      <c r="E2742" s="454">
        <v>559350000</v>
      </c>
      <c r="F2742" s="253">
        <v>556600000</v>
      </c>
      <c r="G2742" s="117">
        <f t="shared" si="170"/>
        <v>99.508357915437557</v>
      </c>
      <c r="H2742" s="455">
        <v>100</v>
      </c>
      <c r="I2742" s="111"/>
    </row>
    <row r="2743" spans="3:9" ht="16.5" hidden="1" customHeight="1" x14ac:dyDescent="0.25">
      <c r="C2743" s="109"/>
      <c r="D2743" s="453" t="s">
        <v>2154</v>
      </c>
      <c r="E2743" s="456">
        <v>1002000000</v>
      </c>
      <c r="F2743" s="253">
        <v>1002000000</v>
      </c>
      <c r="G2743" s="117">
        <f t="shared" si="170"/>
        <v>100</v>
      </c>
      <c r="H2743" s="455">
        <v>100</v>
      </c>
      <c r="I2743" s="111"/>
    </row>
    <row r="2744" spans="3:9" s="115" customFormat="1" ht="16.5" hidden="1" customHeight="1" x14ac:dyDescent="0.25">
      <c r="C2744" s="159"/>
      <c r="D2744" s="450" t="s">
        <v>1870</v>
      </c>
      <c r="E2744" s="451">
        <f>SUM(E2745:E2754)</f>
        <v>18725057122</v>
      </c>
      <c r="F2744" s="254">
        <f>SUM(F2745:F2754)</f>
        <v>17415830000</v>
      </c>
      <c r="G2744" s="114">
        <f t="shared" si="170"/>
        <v>93.008154188956809</v>
      </c>
      <c r="H2744" s="452">
        <f>SUM(H2745:H2754)/10</f>
        <v>82.1</v>
      </c>
      <c r="I2744" s="121"/>
    </row>
    <row r="2745" spans="3:9" ht="16.5" hidden="1" customHeight="1" x14ac:dyDescent="0.25">
      <c r="C2745" s="109"/>
      <c r="D2745" s="453" t="s">
        <v>2155</v>
      </c>
      <c r="E2745" s="456">
        <v>1336500000</v>
      </c>
      <c r="F2745" s="253">
        <v>1331000000</v>
      </c>
      <c r="G2745" s="117">
        <f t="shared" si="170"/>
        <v>99.588477366255148</v>
      </c>
      <c r="H2745" s="455">
        <v>100</v>
      </c>
      <c r="I2745" s="111"/>
    </row>
    <row r="2746" spans="3:9" ht="16.5" hidden="1" customHeight="1" x14ac:dyDescent="0.25">
      <c r="C2746" s="109"/>
      <c r="D2746" s="453" t="s">
        <v>2156</v>
      </c>
      <c r="E2746" s="456">
        <v>4754890566</v>
      </c>
      <c r="F2746" s="253">
        <v>4743100000</v>
      </c>
      <c r="G2746" s="117">
        <f t="shared" si="170"/>
        <v>99.752032863083983</v>
      </c>
      <c r="H2746" s="455">
        <v>100</v>
      </c>
      <c r="I2746" s="111"/>
    </row>
    <row r="2747" spans="3:9" ht="16.5" hidden="1" customHeight="1" x14ac:dyDescent="0.25">
      <c r="C2747" s="109"/>
      <c r="D2747" s="453" t="s">
        <v>2157</v>
      </c>
      <c r="E2747" s="456">
        <v>378000000</v>
      </c>
      <c r="F2747" s="253">
        <v>377000000</v>
      </c>
      <c r="G2747" s="117">
        <f t="shared" si="170"/>
        <v>99.735449735449734</v>
      </c>
      <c r="H2747" s="455">
        <v>100</v>
      </c>
      <c r="I2747" s="111"/>
    </row>
    <row r="2748" spans="3:9" ht="16.5" hidden="1" customHeight="1" x14ac:dyDescent="0.25">
      <c r="C2748" s="109"/>
      <c r="D2748" s="453" t="s">
        <v>2158</v>
      </c>
      <c r="E2748" s="456">
        <v>487699500</v>
      </c>
      <c r="F2748" s="253">
        <v>484000000</v>
      </c>
      <c r="G2748" s="117">
        <f t="shared" si="170"/>
        <v>99.241438631780426</v>
      </c>
      <c r="H2748" s="455">
        <v>99</v>
      </c>
      <c r="I2748" s="111"/>
    </row>
    <row r="2749" spans="3:9" ht="16.5" hidden="1" customHeight="1" x14ac:dyDescent="0.25">
      <c r="C2749" s="109"/>
      <c r="D2749" s="453" t="s">
        <v>2159</v>
      </c>
      <c r="E2749" s="456">
        <v>1106700000</v>
      </c>
      <c r="F2749" s="253">
        <v>1098680000</v>
      </c>
      <c r="G2749" s="117">
        <f t="shared" si="170"/>
        <v>99.275323032438777</v>
      </c>
      <c r="H2749" s="455">
        <v>99</v>
      </c>
      <c r="I2749" s="111"/>
    </row>
    <row r="2750" spans="3:9" ht="16.5" hidden="1" customHeight="1" x14ac:dyDescent="0.25">
      <c r="C2750" s="109"/>
      <c r="D2750" s="453" t="s">
        <v>2160</v>
      </c>
      <c r="E2750" s="456">
        <v>794470000</v>
      </c>
      <c r="F2750" s="253">
        <v>791300000</v>
      </c>
      <c r="G2750" s="117">
        <f t="shared" si="170"/>
        <v>99.600991856206022</v>
      </c>
      <c r="H2750" s="455">
        <v>100</v>
      </c>
      <c r="I2750" s="111"/>
    </row>
    <row r="2751" spans="3:9" ht="16.5" hidden="1" customHeight="1" x14ac:dyDescent="0.25">
      <c r="C2751" s="109"/>
      <c r="D2751" s="453" t="s">
        <v>2161</v>
      </c>
      <c r="E2751" s="456">
        <v>2539997056</v>
      </c>
      <c r="F2751" s="253">
        <v>2528600000</v>
      </c>
      <c r="G2751" s="117">
        <f t="shared" si="170"/>
        <v>99.551296487801906</v>
      </c>
      <c r="H2751" s="455">
        <v>100</v>
      </c>
      <c r="I2751" s="111"/>
    </row>
    <row r="2752" spans="3:9" ht="16.5" hidden="1" customHeight="1" x14ac:dyDescent="0.25">
      <c r="C2752" s="109"/>
      <c r="D2752" s="453" t="s">
        <v>2162</v>
      </c>
      <c r="E2752" s="456">
        <v>412000000</v>
      </c>
      <c r="F2752" s="253"/>
      <c r="G2752" s="117">
        <f t="shared" si="170"/>
        <v>0</v>
      </c>
      <c r="H2752" s="455"/>
      <c r="I2752" s="111"/>
    </row>
    <row r="2753" spans="3:9" ht="16.5" hidden="1" customHeight="1" x14ac:dyDescent="0.25">
      <c r="C2753" s="109"/>
      <c r="D2753" s="453" t="s">
        <v>2163</v>
      </c>
      <c r="E2753" s="456">
        <v>550000000</v>
      </c>
      <c r="F2753" s="253">
        <v>166000000</v>
      </c>
      <c r="G2753" s="117">
        <f t="shared" si="170"/>
        <v>30.181818181818183</v>
      </c>
      <c r="H2753" s="455">
        <v>30</v>
      </c>
      <c r="I2753" s="111"/>
    </row>
    <row r="2754" spans="3:9" ht="16.5" hidden="1" customHeight="1" x14ac:dyDescent="0.25">
      <c r="C2754" s="109"/>
      <c r="D2754" s="453" t="s">
        <v>2164</v>
      </c>
      <c r="E2754" s="456">
        <v>6364800000</v>
      </c>
      <c r="F2754" s="253">
        <v>5896150000</v>
      </c>
      <c r="G2754" s="117">
        <f t="shared" si="170"/>
        <v>92.636846405228752</v>
      </c>
      <c r="H2754" s="455">
        <v>93</v>
      </c>
      <c r="I2754" s="111"/>
    </row>
    <row r="2755" spans="3:9" s="115" customFormat="1" ht="16.5" hidden="1" customHeight="1" x14ac:dyDescent="0.25">
      <c r="C2755" s="159"/>
      <c r="D2755" s="450" t="s">
        <v>2165</v>
      </c>
      <c r="E2755" s="451">
        <f>SUM(E2756:E2763)</f>
        <v>4626399998</v>
      </c>
      <c r="F2755" s="254">
        <f>+F2756+F2757+F2758+F2759+F2760+F2761+F2762+F2763</f>
        <v>4017352000</v>
      </c>
      <c r="G2755" s="114">
        <f t="shared" si="170"/>
        <v>86.835379598320671</v>
      </c>
      <c r="H2755" s="452">
        <f>SUM(H2756:H2763)/8</f>
        <v>74.875</v>
      </c>
      <c r="I2755" s="121"/>
    </row>
    <row r="2756" spans="3:9" ht="16.5" hidden="1" customHeight="1" x14ac:dyDescent="0.25">
      <c r="C2756" s="109"/>
      <c r="D2756" s="453" t="s">
        <v>2155</v>
      </c>
      <c r="E2756" s="456">
        <v>972000000</v>
      </c>
      <c r="F2756" s="253">
        <v>965800000</v>
      </c>
      <c r="G2756" s="117">
        <f t="shared" si="170"/>
        <v>99.362139917695472</v>
      </c>
      <c r="H2756" s="455">
        <v>99</v>
      </c>
      <c r="I2756" s="111"/>
    </row>
    <row r="2757" spans="3:9" ht="16.5" hidden="1" customHeight="1" x14ac:dyDescent="0.25">
      <c r="C2757" s="109"/>
      <c r="D2757" s="453" t="s">
        <v>2166</v>
      </c>
      <c r="E2757" s="456">
        <v>309600000</v>
      </c>
      <c r="F2757" s="253">
        <v>305800000</v>
      </c>
      <c r="G2757" s="117">
        <f t="shared" si="170"/>
        <v>98.772609819121442</v>
      </c>
      <c r="H2757" s="455">
        <v>99</v>
      </c>
      <c r="I2757" s="111"/>
    </row>
    <row r="2758" spans="3:9" ht="16.5" hidden="1" customHeight="1" x14ac:dyDescent="0.25">
      <c r="C2758" s="109"/>
      <c r="D2758" s="453" t="s">
        <v>2157</v>
      </c>
      <c r="E2758" s="456">
        <v>486000000</v>
      </c>
      <c r="F2758" s="253">
        <v>485000000</v>
      </c>
      <c r="G2758" s="117">
        <f t="shared" si="170"/>
        <v>99.794238683127574</v>
      </c>
      <c r="H2758" s="455">
        <v>100</v>
      </c>
      <c r="I2758" s="111"/>
    </row>
    <row r="2759" spans="3:9" ht="16.5" hidden="1" customHeight="1" x14ac:dyDescent="0.25">
      <c r="C2759" s="109"/>
      <c r="D2759" s="453" t="s">
        <v>2160</v>
      </c>
      <c r="E2759" s="456">
        <v>259999998</v>
      </c>
      <c r="F2759" s="253">
        <v>258000000</v>
      </c>
      <c r="G2759" s="117">
        <f t="shared" si="170"/>
        <v>99.230769994082848</v>
      </c>
      <c r="H2759" s="455">
        <v>99</v>
      </c>
      <c r="I2759" s="111"/>
    </row>
    <row r="2760" spans="3:9" ht="39" hidden="1" customHeight="1" x14ac:dyDescent="0.25">
      <c r="C2760" s="109"/>
      <c r="D2760" s="453" t="s">
        <v>2167</v>
      </c>
      <c r="E2760" s="456">
        <v>249000000</v>
      </c>
      <c r="F2760" s="253"/>
      <c r="G2760" s="117">
        <f t="shared" si="170"/>
        <v>0</v>
      </c>
      <c r="H2760" s="455"/>
      <c r="I2760" s="111"/>
    </row>
    <row r="2761" spans="3:9" ht="16.5" hidden="1" customHeight="1" x14ac:dyDescent="0.25">
      <c r="C2761" s="109"/>
      <c r="D2761" s="453" t="s">
        <v>2168</v>
      </c>
      <c r="E2761" s="456">
        <v>278500000</v>
      </c>
      <c r="F2761" s="253">
        <v>76000000</v>
      </c>
      <c r="G2761" s="117">
        <f t="shared" si="170"/>
        <v>27.289048473967686</v>
      </c>
      <c r="H2761" s="455">
        <v>27</v>
      </c>
      <c r="I2761" s="111"/>
    </row>
    <row r="2762" spans="3:9" ht="16.5" hidden="1" customHeight="1" x14ac:dyDescent="0.25">
      <c r="C2762" s="109"/>
      <c r="D2762" s="453" t="s">
        <v>2169</v>
      </c>
      <c r="E2762" s="456">
        <v>367300000</v>
      </c>
      <c r="F2762" s="253">
        <v>288552000</v>
      </c>
      <c r="G2762" s="117">
        <f t="shared" si="170"/>
        <v>78.560304927851888</v>
      </c>
      <c r="H2762" s="455">
        <v>79</v>
      </c>
      <c r="I2762" s="111"/>
    </row>
    <row r="2763" spans="3:9" ht="16.5" hidden="1" customHeight="1" x14ac:dyDescent="0.25">
      <c r="C2763" s="109"/>
      <c r="D2763" s="453" t="s">
        <v>2170</v>
      </c>
      <c r="E2763" s="456">
        <v>1704000000</v>
      </c>
      <c r="F2763" s="253">
        <v>1638200000</v>
      </c>
      <c r="G2763" s="117">
        <f t="shared" si="170"/>
        <v>96.13849765258216</v>
      </c>
      <c r="H2763" s="455">
        <v>96</v>
      </c>
      <c r="I2763" s="111"/>
    </row>
    <row r="2764" spans="3:9" s="115" customFormat="1" ht="16.5" hidden="1" customHeight="1" x14ac:dyDescent="0.25">
      <c r="C2764" s="159"/>
      <c r="D2764" s="450" t="s">
        <v>1885</v>
      </c>
      <c r="E2764" s="451">
        <f>SUM(E2765:E2768)</f>
        <v>3193779880</v>
      </c>
      <c r="F2764" s="254">
        <f>+F2765+F2766+F2767+F2768</f>
        <v>2588759300</v>
      </c>
      <c r="G2764" s="114">
        <f t="shared" si="170"/>
        <v>81.05628431725232</v>
      </c>
      <c r="H2764" s="452">
        <f>SUM(H2765:H2768)/4</f>
        <v>76.25</v>
      </c>
      <c r="I2764" s="121"/>
    </row>
    <row r="2765" spans="3:9" ht="16.5" hidden="1" customHeight="1" x14ac:dyDescent="0.2">
      <c r="C2765" s="109"/>
      <c r="D2765" s="457" t="s">
        <v>2171</v>
      </c>
      <c r="E2765" s="458">
        <v>300000000</v>
      </c>
      <c r="F2765" s="253">
        <v>264439300</v>
      </c>
      <c r="G2765" s="117">
        <f t="shared" si="170"/>
        <v>88.146433333333334</v>
      </c>
      <c r="H2765" s="455">
        <v>88</v>
      </c>
      <c r="I2765" s="111"/>
    </row>
    <row r="2766" spans="3:9" ht="16.5" hidden="1" customHeight="1" x14ac:dyDescent="0.25">
      <c r="C2766" s="109"/>
      <c r="D2766" s="453" t="s">
        <v>2172</v>
      </c>
      <c r="E2766" s="456">
        <v>375000000</v>
      </c>
      <c r="F2766" s="253">
        <v>225000000</v>
      </c>
      <c r="G2766" s="117">
        <f t="shared" si="170"/>
        <v>60</v>
      </c>
      <c r="H2766" s="455">
        <v>60</v>
      </c>
      <c r="I2766" s="111"/>
    </row>
    <row r="2767" spans="3:9" ht="16.5" hidden="1" customHeight="1" x14ac:dyDescent="0.25">
      <c r="C2767" s="109"/>
      <c r="D2767" s="453" t="s">
        <v>2173</v>
      </c>
      <c r="E2767" s="456">
        <v>1543779880</v>
      </c>
      <c r="F2767" s="253">
        <v>1540000000</v>
      </c>
      <c r="G2767" s="117">
        <f t="shared" si="170"/>
        <v>99.755154212788426</v>
      </c>
      <c r="H2767" s="455">
        <v>100</v>
      </c>
      <c r="I2767" s="111"/>
    </row>
    <row r="2768" spans="3:9" ht="16.5" hidden="1" customHeight="1" x14ac:dyDescent="0.25">
      <c r="C2768" s="109"/>
      <c r="D2768" s="453" t="s">
        <v>2174</v>
      </c>
      <c r="E2768" s="456">
        <v>975000000</v>
      </c>
      <c r="F2768" s="253">
        <v>559320000</v>
      </c>
      <c r="G2768" s="117">
        <f t="shared" si="170"/>
        <v>57.366153846153843</v>
      </c>
      <c r="H2768" s="455">
        <v>57</v>
      </c>
      <c r="I2768" s="111"/>
    </row>
    <row r="2769" spans="3:9" s="115" customFormat="1" ht="16.5" hidden="1" customHeight="1" x14ac:dyDescent="0.25">
      <c r="C2769" s="159"/>
      <c r="D2769" s="450" t="s">
        <v>2175</v>
      </c>
      <c r="E2769" s="451">
        <f>+E2770</f>
        <v>3120800000</v>
      </c>
      <c r="F2769" s="254">
        <f>+F2770</f>
        <v>3120800000</v>
      </c>
      <c r="G2769" s="114">
        <f t="shared" si="170"/>
        <v>100</v>
      </c>
      <c r="H2769" s="452">
        <f>+H2770</f>
        <v>100</v>
      </c>
      <c r="I2769" s="121"/>
    </row>
    <row r="2770" spans="3:9" ht="16.5" hidden="1" customHeight="1" x14ac:dyDescent="0.25">
      <c r="C2770" s="109"/>
      <c r="D2770" s="453" t="s">
        <v>2176</v>
      </c>
      <c r="E2770" s="456">
        <v>3120800000</v>
      </c>
      <c r="F2770" s="253">
        <v>3120800000</v>
      </c>
      <c r="G2770" s="117">
        <f t="shared" si="170"/>
        <v>100</v>
      </c>
      <c r="H2770" s="455">
        <v>100</v>
      </c>
      <c r="I2770" s="111"/>
    </row>
    <row r="2771" spans="3:9" ht="16.5" hidden="1" customHeight="1" x14ac:dyDescent="0.25">
      <c r="C2771" s="109"/>
      <c r="D2771" s="453"/>
      <c r="E2771" s="459"/>
      <c r="F2771" s="253"/>
      <c r="G2771" s="114"/>
      <c r="H2771" s="455"/>
      <c r="I2771" s="111"/>
    </row>
    <row r="2772" spans="3:9" s="115" customFormat="1" ht="16.5" hidden="1" customHeight="1" x14ac:dyDescent="0.25">
      <c r="C2772" s="159"/>
      <c r="D2772" s="450" t="s">
        <v>1020</v>
      </c>
      <c r="E2772" s="460">
        <v>15613693500</v>
      </c>
      <c r="F2772" s="254">
        <v>13603706000</v>
      </c>
      <c r="G2772" s="114">
        <f t="shared" ref="G2772:G2803" si="171">+F2772/E2772*100</f>
        <v>87.126764720980333</v>
      </c>
      <c r="H2772" s="449">
        <f>(+H2773+H2775+H2778+H2781+H2791+H2794+H2797+H2802+H2804)/9</f>
        <v>87.092592592592581</v>
      </c>
      <c r="I2772" s="121"/>
    </row>
    <row r="2773" spans="3:9" s="115" customFormat="1" ht="16.5" hidden="1" customHeight="1" x14ac:dyDescent="0.25">
      <c r="C2773" s="159"/>
      <c r="D2773" s="450" t="s">
        <v>1899</v>
      </c>
      <c r="E2773" s="461">
        <f>+E2774</f>
        <v>128900000</v>
      </c>
      <c r="F2773" s="254">
        <f>+F2774</f>
        <v>127200000</v>
      </c>
      <c r="G2773" s="114">
        <f t="shared" si="171"/>
        <v>98.681148176881308</v>
      </c>
      <c r="H2773" s="452">
        <v>99</v>
      </c>
      <c r="I2773" s="121"/>
    </row>
    <row r="2774" spans="3:9" ht="16.5" hidden="1" customHeight="1" x14ac:dyDescent="0.2">
      <c r="C2774" s="109"/>
      <c r="D2774" s="457" t="s">
        <v>2177</v>
      </c>
      <c r="E2774" s="462">
        <v>128900000</v>
      </c>
      <c r="F2774" s="253">
        <v>127200000</v>
      </c>
      <c r="G2774" s="117">
        <f t="shared" si="171"/>
        <v>98.681148176881308</v>
      </c>
      <c r="H2774" s="455">
        <v>99</v>
      </c>
      <c r="I2774" s="111"/>
    </row>
    <row r="2775" spans="3:9" s="115" customFormat="1" ht="16.5" hidden="1" customHeight="1" x14ac:dyDescent="0.25">
      <c r="C2775" s="159"/>
      <c r="D2775" s="463" t="s">
        <v>1913</v>
      </c>
      <c r="E2775" s="464">
        <f>+E2776+E2777</f>
        <v>2684000000</v>
      </c>
      <c r="F2775" s="254">
        <f>+F2776</f>
        <v>434000000</v>
      </c>
      <c r="G2775" s="114">
        <f t="shared" si="171"/>
        <v>16.169895678092399</v>
      </c>
      <c r="H2775" s="452">
        <f>SUM(H2776:H2777)/2</f>
        <v>93.5</v>
      </c>
      <c r="I2775" s="121"/>
    </row>
    <row r="2776" spans="3:9" ht="16.5" hidden="1" customHeight="1" x14ac:dyDescent="0.25">
      <c r="C2776" s="109"/>
      <c r="D2776" s="465" t="s">
        <v>2178</v>
      </c>
      <c r="E2776" s="466">
        <v>434000000</v>
      </c>
      <c r="F2776" s="253">
        <v>434000000</v>
      </c>
      <c r="G2776" s="117">
        <f t="shared" si="171"/>
        <v>100</v>
      </c>
      <c r="H2776" s="455">
        <v>100</v>
      </c>
      <c r="I2776" s="111"/>
    </row>
    <row r="2777" spans="3:9" ht="16.5" hidden="1" customHeight="1" x14ac:dyDescent="0.25">
      <c r="C2777" s="109"/>
      <c r="D2777" s="453" t="s">
        <v>2179</v>
      </c>
      <c r="E2777" s="462">
        <v>2250000000</v>
      </c>
      <c r="F2777" s="253">
        <v>1949000000</v>
      </c>
      <c r="G2777" s="117">
        <f t="shared" si="171"/>
        <v>86.62222222222222</v>
      </c>
      <c r="H2777" s="455">
        <v>87</v>
      </c>
      <c r="I2777" s="111"/>
    </row>
    <row r="2778" spans="3:9" s="115" customFormat="1" ht="16.5" hidden="1" customHeight="1" x14ac:dyDescent="0.25">
      <c r="C2778" s="159"/>
      <c r="D2778" s="450" t="s">
        <v>1916</v>
      </c>
      <c r="E2778" s="467">
        <f>+E2779+E2780</f>
        <v>2846000000</v>
      </c>
      <c r="F2778" s="254">
        <f>+F2779+F2780</f>
        <v>2288500000</v>
      </c>
      <c r="G2778" s="114">
        <f t="shared" si="171"/>
        <v>80.41110330288123</v>
      </c>
      <c r="H2778" s="452">
        <f>SUM(H2779:H2780)/2</f>
        <v>60</v>
      </c>
      <c r="I2778" s="121"/>
    </row>
    <row r="2779" spans="3:9" ht="21" hidden="1" customHeight="1" x14ac:dyDescent="0.25">
      <c r="C2779" s="109"/>
      <c r="D2779" s="453" t="s">
        <v>2180</v>
      </c>
      <c r="E2779" s="462">
        <v>2166000000</v>
      </c>
      <c r="F2779" s="253">
        <v>2144900000</v>
      </c>
      <c r="G2779" s="117">
        <f t="shared" si="171"/>
        <v>99.025854108956608</v>
      </c>
      <c r="H2779" s="455">
        <v>99</v>
      </c>
      <c r="I2779" s="111"/>
    </row>
    <row r="2780" spans="3:9" ht="47.25" hidden="1" customHeight="1" x14ac:dyDescent="0.25">
      <c r="C2780" s="109"/>
      <c r="D2780" s="453" t="s">
        <v>2181</v>
      </c>
      <c r="E2780" s="462">
        <v>680000000</v>
      </c>
      <c r="F2780" s="253">
        <v>143600000</v>
      </c>
      <c r="G2780" s="117">
        <f t="shared" si="171"/>
        <v>21.117647058823529</v>
      </c>
      <c r="H2780" s="455">
        <v>21</v>
      </c>
      <c r="I2780" s="111"/>
    </row>
    <row r="2781" spans="3:9" s="115" customFormat="1" ht="16.5" hidden="1" customHeight="1" x14ac:dyDescent="0.25">
      <c r="C2781" s="159"/>
      <c r="D2781" s="450" t="s">
        <v>1920</v>
      </c>
      <c r="E2781" s="467">
        <f>+E2782+E2783+E2784+E2785+E2786+E2787+E2788+E2789+E2790</f>
        <v>1986750000</v>
      </c>
      <c r="F2781" s="254">
        <f>+F2782+F2783+F2784+F2785+F2786+F2787+F2788+F2789+F2790</f>
        <v>1645031000</v>
      </c>
      <c r="G2781" s="114">
        <f t="shared" si="171"/>
        <v>82.800100666918325</v>
      </c>
      <c r="H2781" s="452">
        <f>SUM(H2782:H2790)/9</f>
        <v>80.333333333333329</v>
      </c>
      <c r="I2781" s="121"/>
    </row>
    <row r="2782" spans="3:9" ht="16.5" hidden="1" customHeight="1" x14ac:dyDescent="0.25">
      <c r="C2782" s="109"/>
      <c r="D2782" s="453" t="s">
        <v>2182</v>
      </c>
      <c r="E2782" s="462">
        <v>198000000</v>
      </c>
      <c r="F2782" s="253">
        <v>57000000</v>
      </c>
      <c r="G2782" s="117">
        <f t="shared" si="171"/>
        <v>28.787878787878789</v>
      </c>
      <c r="H2782" s="455">
        <v>29</v>
      </c>
      <c r="I2782" s="111"/>
    </row>
    <row r="2783" spans="3:9" ht="16.5" hidden="1" customHeight="1" x14ac:dyDescent="0.25">
      <c r="C2783" s="109"/>
      <c r="D2783" s="453" t="s">
        <v>2183</v>
      </c>
      <c r="E2783" s="462">
        <v>142800000</v>
      </c>
      <c r="F2783" s="253">
        <v>142800000</v>
      </c>
      <c r="G2783" s="117">
        <f t="shared" si="171"/>
        <v>100</v>
      </c>
      <c r="H2783" s="455">
        <v>100</v>
      </c>
      <c r="I2783" s="111"/>
    </row>
    <row r="2784" spans="3:9" ht="18.75" hidden="1" customHeight="1" x14ac:dyDescent="0.25">
      <c r="C2784" s="109"/>
      <c r="D2784" s="453" t="s">
        <v>2184</v>
      </c>
      <c r="E2784" s="462">
        <v>180500000</v>
      </c>
      <c r="F2784" s="253">
        <v>79200000</v>
      </c>
      <c r="G2784" s="117">
        <f t="shared" si="171"/>
        <v>43.878116343490305</v>
      </c>
      <c r="H2784" s="455">
        <v>44</v>
      </c>
      <c r="I2784" s="111"/>
    </row>
    <row r="2785" spans="3:9" ht="16.5" hidden="1" customHeight="1" x14ac:dyDescent="0.25">
      <c r="C2785" s="109"/>
      <c r="D2785" s="453" t="s">
        <v>2185</v>
      </c>
      <c r="E2785" s="462">
        <v>210400000</v>
      </c>
      <c r="F2785" s="253">
        <v>200400000</v>
      </c>
      <c r="G2785" s="117">
        <f t="shared" si="171"/>
        <v>95.247148288973378</v>
      </c>
      <c r="H2785" s="455">
        <v>95</v>
      </c>
      <c r="I2785" s="111"/>
    </row>
    <row r="2786" spans="3:9" ht="18.75" hidden="1" customHeight="1" x14ac:dyDescent="0.25">
      <c r="C2786" s="109"/>
      <c r="D2786" s="453" t="s">
        <v>2186</v>
      </c>
      <c r="E2786" s="462">
        <v>192500000</v>
      </c>
      <c r="F2786" s="253">
        <v>105500000</v>
      </c>
      <c r="G2786" s="117">
        <f t="shared" si="171"/>
        <v>54.805194805194802</v>
      </c>
      <c r="H2786" s="455">
        <v>55</v>
      </c>
      <c r="I2786" s="111"/>
    </row>
    <row r="2787" spans="3:9" ht="26.25" hidden="1" customHeight="1" x14ac:dyDescent="0.25">
      <c r="C2787" s="109"/>
      <c r="D2787" s="453" t="s">
        <v>2187</v>
      </c>
      <c r="E2787" s="462">
        <v>132900000</v>
      </c>
      <c r="F2787" s="253">
        <v>132900000</v>
      </c>
      <c r="G2787" s="117">
        <f t="shared" si="171"/>
        <v>100</v>
      </c>
      <c r="H2787" s="455">
        <v>100</v>
      </c>
      <c r="I2787" s="111"/>
    </row>
    <row r="2788" spans="3:9" ht="16.5" hidden="1" customHeight="1" x14ac:dyDescent="0.25">
      <c r="C2788" s="109"/>
      <c r="D2788" s="453" t="s">
        <v>2188</v>
      </c>
      <c r="E2788" s="462">
        <v>139200000</v>
      </c>
      <c r="F2788" s="253">
        <v>138923000</v>
      </c>
      <c r="G2788" s="117">
        <f t="shared" si="171"/>
        <v>99.801005747126439</v>
      </c>
      <c r="H2788" s="455">
        <v>100</v>
      </c>
      <c r="I2788" s="111"/>
    </row>
    <row r="2789" spans="3:9" ht="16.5" hidden="1" customHeight="1" x14ac:dyDescent="0.25">
      <c r="C2789" s="109"/>
      <c r="D2789" s="453" t="s">
        <v>2189</v>
      </c>
      <c r="E2789" s="462">
        <v>580200000</v>
      </c>
      <c r="F2789" s="253">
        <v>578125000</v>
      </c>
      <c r="G2789" s="117">
        <f t="shared" si="171"/>
        <v>99.642364701826963</v>
      </c>
      <c r="H2789" s="455">
        <v>100</v>
      </c>
      <c r="I2789" s="111"/>
    </row>
    <row r="2790" spans="3:9" ht="16.5" hidden="1" customHeight="1" x14ac:dyDescent="0.25">
      <c r="C2790" s="109"/>
      <c r="D2790" s="453" t="s">
        <v>2190</v>
      </c>
      <c r="E2790" s="462">
        <v>210250000</v>
      </c>
      <c r="F2790" s="253">
        <v>210183000</v>
      </c>
      <c r="G2790" s="117">
        <f t="shared" si="171"/>
        <v>99.968133174791916</v>
      </c>
      <c r="H2790" s="455">
        <v>100</v>
      </c>
      <c r="I2790" s="111"/>
    </row>
    <row r="2791" spans="3:9" s="115" customFormat="1" ht="16.5" hidden="1" customHeight="1" x14ac:dyDescent="0.25">
      <c r="C2791" s="159"/>
      <c r="D2791" s="450" t="s">
        <v>2191</v>
      </c>
      <c r="E2791" s="467">
        <f>+E2792+E2793</f>
        <v>3449862500</v>
      </c>
      <c r="F2791" s="254">
        <f>+F2792+F2793</f>
        <v>3124290000</v>
      </c>
      <c r="G2791" s="114">
        <f t="shared" si="171"/>
        <v>90.562739819340621</v>
      </c>
      <c r="H2791" s="452">
        <f>SUM(H2792:H2793)/2</f>
        <v>94</v>
      </c>
      <c r="I2791" s="121"/>
    </row>
    <row r="2792" spans="3:9" ht="18.75" hidden="1" customHeight="1" x14ac:dyDescent="0.25">
      <c r="C2792" s="109"/>
      <c r="D2792" s="453" t="s">
        <v>2192</v>
      </c>
      <c r="E2792" s="462">
        <v>155300000</v>
      </c>
      <c r="F2792" s="253">
        <v>152400000</v>
      </c>
      <c r="G2792" s="117">
        <f t="shared" si="171"/>
        <v>98.132646490663234</v>
      </c>
      <c r="H2792" s="455">
        <v>98</v>
      </c>
      <c r="I2792" s="111"/>
    </row>
    <row r="2793" spans="3:9" ht="16.5" hidden="1" customHeight="1" x14ac:dyDescent="0.25">
      <c r="C2793" s="109"/>
      <c r="D2793" s="453" t="s">
        <v>2193</v>
      </c>
      <c r="E2793" s="462">
        <v>3294562500</v>
      </c>
      <c r="F2793" s="253">
        <v>2971890000</v>
      </c>
      <c r="G2793" s="117">
        <f t="shared" si="171"/>
        <v>90.20590746115758</v>
      </c>
      <c r="H2793" s="455">
        <v>90</v>
      </c>
      <c r="I2793" s="111"/>
    </row>
    <row r="2794" spans="3:9" s="115" customFormat="1" ht="30" hidden="1" customHeight="1" x14ac:dyDescent="0.25">
      <c r="C2794" s="159"/>
      <c r="D2794" s="450" t="s">
        <v>2194</v>
      </c>
      <c r="E2794" s="467">
        <f>+E2795+E2796</f>
        <v>1127369350</v>
      </c>
      <c r="F2794" s="254">
        <f>+F2795+F2796</f>
        <v>1122495000</v>
      </c>
      <c r="G2794" s="114">
        <f t="shared" si="171"/>
        <v>99.56763504347532</v>
      </c>
      <c r="H2794" s="452">
        <f>SUM(H2795:H2796)/2</f>
        <v>99.5</v>
      </c>
      <c r="I2794" s="121"/>
    </row>
    <row r="2795" spans="3:9" ht="16.5" hidden="1" customHeight="1" x14ac:dyDescent="0.2">
      <c r="C2795" s="109"/>
      <c r="D2795" s="457" t="s">
        <v>2195</v>
      </c>
      <c r="E2795" s="462">
        <v>690000000</v>
      </c>
      <c r="F2795" s="253">
        <v>688160000</v>
      </c>
      <c r="G2795" s="117">
        <f t="shared" si="171"/>
        <v>99.733333333333334</v>
      </c>
      <c r="H2795" s="455">
        <v>100</v>
      </c>
      <c r="I2795" s="111"/>
    </row>
    <row r="2796" spans="3:9" ht="16.5" hidden="1" customHeight="1" x14ac:dyDescent="0.25">
      <c r="C2796" s="109"/>
      <c r="D2796" s="453" t="s">
        <v>2196</v>
      </c>
      <c r="E2796" s="462">
        <v>437369350</v>
      </c>
      <c r="F2796" s="253">
        <v>434335000</v>
      </c>
      <c r="G2796" s="117">
        <f t="shared" si="171"/>
        <v>99.306227105305851</v>
      </c>
      <c r="H2796" s="455">
        <v>99</v>
      </c>
      <c r="I2796" s="111"/>
    </row>
    <row r="2797" spans="3:9" s="115" customFormat="1" ht="16.5" hidden="1" customHeight="1" x14ac:dyDescent="0.25">
      <c r="C2797" s="159"/>
      <c r="D2797" s="450" t="s">
        <v>2197</v>
      </c>
      <c r="E2797" s="467">
        <f>+E2798+E2799+E2800+E2801</f>
        <v>1437900000</v>
      </c>
      <c r="F2797" s="254">
        <f>+F2798+F2799+F2800+F2801</f>
        <v>1052700000</v>
      </c>
      <c r="G2797" s="114">
        <f t="shared" si="171"/>
        <v>73.210932610056332</v>
      </c>
      <c r="H2797" s="452">
        <f>SUM(H2798:H2801)/4</f>
        <v>67.5</v>
      </c>
      <c r="I2797" s="121"/>
    </row>
    <row r="2798" spans="3:9" ht="16.5" hidden="1" customHeight="1" x14ac:dyDescent="0.2">
      <c r="C2798" s="109"/>
      <c r="D2798" s="457" t="s">
        <v>2198</v>
      </c>
      <c r="E2798" s="462">
        <v>477000000</v>
      </c>
      <c r="F2798" s="253">
        <v>281600000</v>
      </c>
      <c r="G2798" s="117">
        <f t="shared" si="171"/>
        <v>59.035639412997909</v>
      </c>
      <c r="H2798" s="455">
        <v>59</v>
      </c>
      <c r="I2798" s="111"/>
    </row>
    <row r="2799" spans="3:9" ht="16.5" hidden="1" customHeight="1" x14ac:dyDescent="0.25">
      <c r="C2799" s="109"/>
      <c r="D2799" s="453" t="s">
        <v>2199</v>
      </c>
      <c r="E2799" s="462">
        <v>600000000</v>
      </c>
      <c r="F2799" s="253">
        <v>595100000</v>
      </c>
      <c r="G2799" s="117">
        <f t="shared" si="171"/>
        <v>99.183333333333337</v>
      </c>
      <c r="H2799" s="455">
        <v>99</v>
      </c>
      <c r="I2799" s="111"/>
    </row>
    <row r="2800" spans="3:9" ht="16.5" hidden="1" customHeight="1" x14ac:dyDescent="0.25">
      <c r="C2800" s="109"/>
      <c r="D2800" s="453" t="s">
        <v>2200</v>
      </c>
      <c r="E2800" s="462">
        <v>210000000</v>
      </c>
      <c r="F2800" s="253">
        <v>27000000</v>
      </c>
      <c r="G2800" s="117">
        <f t="shared" si="171"/>
        <v>12.857142857142856</v>
      </c>
      <c r="H2800" s="455">
        <v>13</v>
      </c>
      <c r="I2800" s="111"/>
    </row>
    <row r="2801" spans="3:9" ht="16.5" hidden="1" customHeight="1" x14ac:dyDescent="0.25">
      <c r="C2801" s="109"/>
      <c r="D2801" s="453" t="s">
        <v>2185</v>
      </c>
      <c r="E2801" s="462">
        <v>150900000</v>
      </c>
      <c r="F2801" s="253">
        <v>149000000</v>
      </c>
      <c r="G2801" s="117">
        <f t="shared" si="171"/>
        <v>98.740888005301514</v>
      </c>
      <c r="H2801" s="455">
        <v>99</v>
      </c>
      <c r="I2801" s="111"/>
    </row>
    <row r="2802" spans="3:9" s="115" customFormat="1" ht="16.5" hidden="1" customHeight="1" x14ac:dyDescent="0.25">
      <c r="C2802" s="159"/>
      <c r="D2802" s="463" t="s">
        <v>2201</v>
      </c>
      <c r="E2802" s="464">
        <f>+E2803</f>
        <v>916111650</v>
      </c>
      <c r="F2802" s="254">
        <f>+F2803</f>
        <v>831890000</v>
      </c>
      <c r="G2802" s="114">
        <f t="shared" si="171"/>
        <v>90.806617293863695</v>
      </c>
      <c r="H2802" s="452">
        <f>+H2803</f>
        <v>91</v>
      </c>
      <c r="I2802" s="121"/>
    </row>
    <row r="2803" spans="3:9" ht="16.5" hidden="1" customHeight="1" x14ac:dyDescent="0.25">
      <c r="C2803" s="109"/>
      <c r="D2803" s="465" t="s">
        <v>2202</v>
      </c>
      <c r="E2803" s="466">
        <v>916111650</v>
      </c>
      <c r="F2803" s="253">
        <v>831890000</v>
      </c>
      <c r="G2803" s="117">
        <f t="shared" si="171"/>
        <v>90.806617293863695</v>
      </c>
      <c r="H2803" s="455">
        <v>91</v>
      </c>
      <c r="I2803" s="111"/>
    </row>
    <row r="2804" spans="3:9" s="115" customFormat="1" ht="16.5" hidden="1" customHeight="1" x14ac:dyDescent="0.25">
      <c r="C2804" s="159"/>
      <c r="D2804" s="450" t="s">
        <v>2203</v>
      </c>
      <c r="E2804" s="467">
        <f>+E2805</f>
        <v>103680000000</v>
      </c>
      <c r="F2804" s="254">
        <f>+F2805</f>
        <v>1028600000</v>
      </c>
      <c r="G2804" s="114">
        <f>+G2805</f>
        <v>99</v>
      </c>
      <c r="H2804" s="452">
        <f>+H2805</f>
        <v>99</v>
      </c>
      <c r="I2804" s="121"/>
    </row>
    <row r="2805" spans="3:9" ht="16.5" hidden="1" customHeight="1" x14ac:dyDescent="0.25">
      <c r="C2805" s="109"/>
      <c r="D2805" s="453" t="s">
        <v>2204</v>
      </c>
      <c r="E2805" s="462">
        <v>103680000000</v>
      </c>
      <c r="F2805" s="253">
        <v>1028600000</v>
      </c>
      <c r="G2805" s="117">
        <v>99</v>
      </c>
      <c r="H2805" s="455">
        <v>99</v>
      </c>
      <c r="I2805" s="111"/>
    </row>
    <row r="2806" spans="3:9" ht="16.5" hidden="1" customHeight="1" x14ac:dyDescent="0.25">
      <c r="C2806" s="109"/>
      <c r="D2806" s="450"/>
      <c r="E2806" s="468"/>
      <c r="F2806" s="253"/>
      <c r="G2806" s="114"/>
      <c r="H2806" s="455"/>
      <c r="I2806" s="111"/>
    </row>
    <row r="2807" spans="3:9" s="115" customFormat="1" ht="16.5" hidden="1" customHeight="1" x14ac:dyDescent="0.25">
      <c r="C2807" s="159"/>
      <c r="D2807" s="447" t="s">
        <v>2205</v>
      </c>
      <c r="E2807" s="460">
        <v>20818258000</v>
      </c>
      <c r="F2807" s="254">
        <v>20759788800</v>
      </c>
      <c r="G2807" s="114">
        <f>+F2807/E2807*100</f>
        <v>99.719144608545051</v>
      </c>
      <c r="H2807" s="452">
        <f>(H2808+H2810)/2</f>
        <v>99.5</v>
      </c>
      <c r="I2807" s="121"/>
    </row>
    <row r="2808" spans="3:9" s="115" customFormat="1" ht="16.5" hidden="1" customHeight="1" x14ac:dyDescent="0.25">
      <c r="C2808" s="159"/>
      <c r="D2808" s="463" t="s">
        <v>1929</v>
      </c>
      <c r="E2808" s="460">
        <f>+E2809</f>
        <v>19344972000</v>
      </c>
      <c r="F2808" s="254">
        <f>+F2809</f>
        <v>19296288800</v>
      </c>
      <c r="G2808" s="114">
        <f>+F2808/E2808*100</f>
        <v>99.748341843038077</v>
      </c>
      <c r="H2808" s="452">
        <f>+H2809</f>
        <v>100</v>
      </c>
      <c r="I2808" s="121"/>
    </row>
    <row r="2809" spans="3:9" ht="16.5" hidden="1" customHeight="1" x14ac:dyDescent="0.25">
      <c r="C2809" s="109"/>
      <c r="D2809" s="465" t="s">
        <v>2206</v>
      </c>
      <c r="E2809" s="466">
        <v>19344972000</v>
      </c>
      <c r="F2809" s="253">
        <v>19296288800</v>
      </c>
      <c r="G2809" s="117">
        <f>+F2809/E2809*100</f>
        <v>99.748341843038077</v>
      </c>
      <c r="H2809" s="455">
        <v>100</v>
      </c>
      <c r="I2809" s="111"/>
    </row>
    <row r="2810" spans="3:9" s="115" customFormat="1" ht="16.5" hidden="1" customHeight="1" x14ac:dyDescent="0.25">
      <c r="C2810" s="159"/>
      <c r="D2810" s="463" t="s">
        <v>2207</v>
      </c>
      <c r="E2810" s="464">
        <f>+E2811</f>
        <v>1473286000</v>
      </c>
      <c r="F2810" s="254">
        <f>+F2811</f>
        <v>1463500000</v>
      </c>
      <c r="G2810" s="114">
        <f>+F2810/E2810*100</f>
        <v>99.335770515704354</v>
      </c>
      <c r="H2810" s="452">
        <f>+H2811</f>
        <v>99</v>
      </c>
      <c r="I2810" s="121"/>
    </row>
    <row r="2811" spans="3:9" ht="16.5" hidden="1" customHeight="1" x14ac:dyDescent="0.25">
      <c r="C2811" s="109"/>
      <c r="D2811" s="465" t="s">
        <v>2208</v>
      </c>
      <c r="E2811" s="466">
        <v>1473286000</v>
      </c>
      <c r="F2811" s="253">
        <v>1463500000</v>
      </c>
      <c r="G2811" s="117">
        <f>+F2811/E2811*100</f>
        <v>99.335770515704354</v>
      </c>
      <c r="H2811" s="455">
        <v>99</v>
      </c>
      <c r="I2811" s="111"/>
    </row>
    <row r="2812" spans="3:9" ht="16.5" hidden="1" customHeight="1" x14ac:dyDescent="0.25">
      <c r="C2812" s="109"/>
      <c r="D2812" s="453"/>
      <c r="E2812" s="468"/>
      <c r="F2812" s="253"/>
      <c r="G2812" s="114"/>
      <c r="H2812" s="455"/>
      <c r="I2812" s="111"/>
    </row>
    <row r="2813" spans="3:9" s="115" customFormat="1" ht="16.5" hidden="1" customHeight="1" x14ac:dyDescent="0.25">
      <c r="C2813" s="159"/>
      <c r="D2813" s="447" t="s">
        <v>1111</v>
      </c>
      <c r="E2813" s="460">
        <v>1840381400</v>
      </c>
      <c r="F2813" s="254">
        <v>1809500000</v>
      </c>
      <c r="G2813" s="114">
        <f>+F2813/E2813*100</f>
        <v>98.322010861444269</v>
      </c>
      <c r="H2813" s="452">
        <f>(H2814+H2816)/2</f>
        <v>98.5</v>
      </c>
      <c r="I2813" s="121"/>
    </row>
    <row r="2814" spans="3:9" s="115" customFormat="1" ht="16.5" hidden="1" customHeight="1" x14ac:dyDescent="0.2">
      <c r="C2814" s="159"/>
      <c r="D2814" s="561" t="s">
        <v>2209</v>
      </c>
      <c r="E2814" s="467">
        <f>+E2815</f>
        <v>94904000</v>
      </c>
      <c r="F2814" s="254">
        <f>+F2815</f>
        <v>93500000</v>
      </c>
      <c r="G2814" s="114">
        <f>+F2814/E2814*100</f>
        <v>98.520610300935687</v>
      </c>
      <c r="H2814" s="452">
        <f>+H2815</f>
        <v>99</v>
      </c>
      <c r="I2814" s="121"/>
    </row>
    <row r="2815" spans="3:9" ht="38.25" hidden="1" customHeight="1" x14ac:dyDescent="0.25">
      <c r="C2815" s="109"/>
      <c r="D2815" s="453" t="s">
        <v>4188</v>
      </c>
      <c r="E2815" s="469">
        <v>94904000</v>
      </c>
      <c r="F2815" s="253">
        <v>93500000</v>
      </c>
      <c r="G2815" s="117">
        <f>+F2815/E2815*100</f>
        <v>98.520610300935687</v>
      </c>
      <c r="H2815" s="455">
        <v>99</v>
      </c>
      <c r="I2815" s="111"/>
    </row>
    <row r="2816" spans="3:9" s="115" customFormat="1" ht="16.5" hidden="1" customHeight="1" x14ac:dyDescent="0.25">
      <c r="C2816" s="159"/>
      <c r="D2816" s="450" t="s">
        <v>1957</v>
      </c>
      <c r="E2816" s="467">
        <f>+E2817</f>
        <v>1745477400</v>
      </c>
      <c r="F2816" s="254">
        <f>+F2817</f>
        <v>1716000000</v>
      </c>
      <c r="G2816" s="114">
        <f>+F2816/E2816*100</f>
        <v>98.311212737558222</v>
      </c>
      <c r="H2816" s="452">
        <f>+H2817</f>
        <v>98</v>
      </c>
      <c r="I2816" s="121"/>
    </row>
    <row r="2817" spans="3:9" ht="16.5" hidden="1" customHeight="1" x14ac:dyDescent="0.25">
      <c r="C2817" s="109"/>
      <c r="D2817" s="453" t="s">
        <v>2210</v>
      </c>
      <c r="E2817" s="462">
        <v>1745477400</v>
      </c>
      <c r="F2817" s="253">
        <v>1716000000</v>
      </c>
      <c r="G2817" s="117">
        <f>+F2817/E2817*100</f>
        <v>98.311212737558222</v>
      </c>
      <c r="H2817" s="455">
        <v>98</v>
      </c>
      <c r="I2817" s="111"/>
    </row>
    <row r="2818" spans="3:9" ht="16.5" hidden="1" customHeight="1" x14ac:dyDescent="0.25">
      <c r="C2818" s="109"/>
      <c r="D2818" s="450"/>
      <c r="E2818" s="462"/>
      <c r="F2818" s="253"/>
      <c r="G2818" s="114"/>
      <c r="H2818" s="455"/>
      <c r="I2818" s="111"/>
    </row>
    <row r="2819" spans="3:9" s="115" customFormat="1" ht="16.5" hidden="1" customHeight="1" x14ac:dyDescent="0.25">
      <c r="C2819" s="159"/>
      <c r="D2819" s="447" t="s">
        <v>2211</v>
      </c>
      <c r="E2819" s="467">
        <v>1350000000</v>
      </c>
      <c r="F2819" s="254">
        <v>1230512300</v>
      </c>
      <c r="G2819" s="114">
        <f t="shared" ref="G2819:G2826" si="172">+F2819/E2819*100</f>
        <v>91.149059259259261</v>
      </c>
      <c r="H2819" s="452">
        <f>(H2820+H2822+H2824)/3</f>
        <v>85.5</v>
      </c>
      <c r="I2819" s="121"/>
    </row>
    <row r="2820" spans="3:9" s="115" customFormat="1" ht="16.5" hidden="1" customHeight="1" x14ac:dyDescent="0.25">
      <c r="C2820" s="159"/>
      <c r="D2820" s="450" t="s">
        <v>1952</v>
      </c>
      <c r="E2820" s="467">
        <f>+E2821</f>
        <v>500000000</v>
      </c>
      <c r="F2820" s="254">
        <f>+F2821</f>
        <v>496500000</v>
      </c>
      <c r="G2820" s="114">
        <f t="shared" si="172"/>
        <v>99.3</v>
      </c>
      <c r="H2820" s="452">
        <f>+H2821</f>
        <v>99</v>
      </c>
      <c r="I2820" s="121"/>
    </row>
    <row r="2821" spans="3:9" ht="18.75" hidden="1" customHeight="1" x14ac:dyDescent="0.25">
      <c r="C2821" s="109"/>
      <c r="D2821" s="453" t="s">
        <v>4189</v>
      </c>
      <c r="E2821" s="469">
        <v>500000000</v>
      </c>
      <c r="F2821" s="253">
        <v>496500000</v>
      </c>
      <c r="G2821" s="117">
        <f t="shared" si="172"/>
        <v>99.3</v>
      </c>
      <c r="H2821" s="455">
        <v>99</v>
      </c>
      <c r="I2821" s="111"/>
    </row>
    <row r="2822" spans="3:9" s="115" customFormat="1" ht="18.75" hidden="1" customHeight="1" x14ac:dyDescent="0.25">
      <c r="C2822" s="159"/>
      <c r="D2822" s="450" t="s">
        <v>1944</v>
      </c>
      <c r="E2822" s="467">
        <f>+E2823</f>
        <v>250000000</v>
      </c>
      <c r="F2822" s="254">
        <f>+F2823</f>
        <v>153000000</v>
      </c>
      <c r="G2822" s="114">
        <f t="shared" si="172"/>
        <v>61.199999999999996</v>
      </c>
      <c r="H2822" s="452">
        <f>+H2823</f>
        <v>61</v>
      </c>
      <c r="I2822" s="121"/>
    </row>
    <row r="2823" spans="3:9" ht="18.75" hidden="1" customHeight="1" x14ac:dyDescent="0.25">
      <c r="C2823" s="109"/>
      <c r="D2823" s="465" t="s">
        <v>2212</v>
      </c>
      <c r="E2823" s="469">
        <v>250000000</v>
      </c>
      <c r="F2823" s="253">
        <v>153000000</v>
      </c>
      <c r="G2823" s="117">
        <f t="shared" si="172"/>
        <v>61.199999999999996</v>
      </c>
      <c r="H2823" s="455">
        <v>61</v>
      </c>
      <c r="I2823" s="111"/>
    </row>
    <row r="2824" spans="3:9" s="115" customFormat="1" ht="18.75" hidden="1" customHeight="1" x14ac:dyDescent="0.25">
      <c r="C2824" s="159"/>
      <c r="D2824" s="450" t="s">
        <v>2213</v>
      </c>
      <c r="E2824" s="467">
        <f>+E2825+E2826</f>
        <v>600000000</v>
      </c>
      <c r="F2824" s="254">
        <f>+F2825+F2826</f>
        <v>581012300</v>
      </c>
      <c r="G2824" s="114">
        <f t="shared" si="172"/>
        <v>96.83538333333334</v>
      </c>
      <c r="H2824" s="452">
        <f>SUM(H2825:H2826)/2</f>
        <v>96.5</v>
      </c>
      <c r="I2824" s="121"/>
    </row>
    <row r="2825" spans="3:9" ht="18.75" hidden="1" customHeight="1" x14ac:dyDescent="0.25">
      <c r="C2825" s="109"/>
      <c r="D2825" s="453" t="s">
        <v>2214</v>
      </c>
      <c r="E2825" s="462">
        <v>300000000</v>
      </c>
      <c r="F2825" s="253">
        <v>283212300</v>
      </c>
      <c r="G2825" s="117">
        <f t="shared" si="172"/>
        <v>94.4041</v>
      </c>
      <c r="H2825" s="455">
        <v>94</v>
      </c>
      <c r="I2825" s="111"/>
    </row>
    <row r="2826" spans="3:9" ht="18.75" hidden="1" customHeight="1" x14ac:dyDescent="0.25">
      <c r="C2826" s="109"/>
      <c r="D2826" s="453" t="s">
        <v>2215</v>
      </c>
      <c r="E2826" s="462">
        <v>300000000</v>
      </c>
      <c r="F2826" s="253">
        <v>297800000</v>
      </c>
      <c r="G2826" s="114">
        <f t="shared" si="172"/>
        <v>99.266666666666666</v>
      </c>
      <c r="H2826" s="455">
        <v>99</v>
      </c>
      <c r="I2826" s="111"/>
    </row>
    <row r="2827" spans="3:9" ht="16.5" hidden="1" customHeight="1" x14ac:dyDescent="0.25">
      <c r="C2827" s="109"/>
      <c r="D2827" s="453"/>
      <c r="E2827" s="466"/>
      <c r="F2827" s="253"/>
      <c r="G2827" s="114"/>
      <c r="H2827" s="455"/>
      <c r="I2827" s="111"/>
    </row>
    <row r="2828" spans="3:9" ht="16.5" hidden="1" customHeight="1" x14ac:dyDescent="0.25">
      <c r="C2828" s="109"/>
      <c r="D2828" s="447" t="s">
        <v>1075</v>
      </c>
      <c r="E2828" s="467">
        <f>+E2829</f>
        <v>3749859500</v>
      </c>
      <c r="F2828" s="254">
        <f>+F2829</f>
        <v>3740950000</v>
      </c>
      <c r="G2828" s="114">
        <f t="shared" ref="G2828:G2834" si="173">+F2828/E2828*100</f>
        <v>99.762404431419355</v>
      </c>
      <c r="H2828" s="452">
        <f>(H2829)/1</f>
        <v>99.8</v>
      </c>
      <c r="I2828" s="111"/>
    </row>
    <row r="2829" spans="3:9" ht="16.5" hidden="1" customHeight="1" x14ac:dyDescent="0.25">
      <c r="C2829" s="109"/>
      <c r="D2829" s="450" t="s">
        <v>2216</v>
      </c>
      <c r="E2829" s="467">
        <f>+E2830+E2831+E2832+E2833+E2834</f>
        <v>3749859500</v>
      </c>
      <c r="F2829" s="254">
        <f>+F2830+F2831+F2832+F2833+F2834</f>
        <v>3740950000</v>
      </c>
      <c r="G2829" s="114">
        <f t="shared" si="173"/>
        <v>99.762404431419355</v>
      </c>
      <c r="H2829" s="452">
        <f>SUM(H2830:H2834)/5</f>
        <v>99.8</v>
      </c>
      <c r="I2829" s="111"/>
    </row>
    <row r="2830" spans="3:9" ht="16.5" hidden="1" customHeight="1" x14ac:dyDescent="0.2">
      <c r="C2830" s="109"/>
      <c r="D2830" s="457" t="s">
        <v>2217</v>
      </c>
      <c r="E2830" s="469">
        <v>741950000</v>
      </c>
      <c r="F2830" s="253">
        <v>741150000</v>
      </c>
      <c r="G2830" s="117">
        <f t="shared" si="173"/>
        <v>99.892176022643028</v>
      </c>
      <c r="H2830" s="455">
        <v>100</v>
      </c>
      <c r="I2830" s="111"/>
    </row>
    <row r="2831" spans="3:9" ht="16.5" hidden="1" customHeight="1" x14ac:dyDescent="0.25">
      <c r="C2831" s="109"/>
      <c r="D2831" s="453" t="s">
        <v>2218</v>
      </c>
      <c r="E2831" s="462">
        <v>741979500</v>
      </c>
      <c r="F2831" s="253">
        <v>737600000</v>
      </c>
      <c r="G2831" s="117">
        <f t="shared" si="173"/>
        <v>99.409754582168375</v>
      </c>
      <c r="H2831" s="455">
        <v>99</v>
      </c>
      <c r="I2831" s="111"/>
    </row>
    <row r="2832" spans="3:9" ht="16.5" hidden="1" customHeight="1" x14ac:dyDescent="0.25">
      <c r="C2832" s="109"/>
      <c r="D2832" s="453" t="s">
        <v>2219</v>
      </c>
      <c r="E2832" s="462">
        <v>346150000</v>
      </c>
      <c r="F2832" s="253">
        <v>345500000</v>
      </c>
      <c r="G2832" s="117">
        <f t="shared" si="173"/>
        <v>99.812220135779285</v>
      </c>
      <c r="H2832" s="455">
        <v>100</v>
      </c>
      <c r="I2832" s="111"/>
    </row>
    <row r="2833" spans="3:9" ht="16.5" hidden="1" customHeight="1" x14ac:dyDescent="0.25">
      <c r="C2833" s="109"/>
      <c r="D2833" s="453" t="s">
        <v>2220</v>
      </c>
      <c r="E2833" s="462">
        <v>578330000</v>
      </c>
      <c r="F2833" s="253">
        <v>577800000</v>
      </c>
      <c r="G2833" s="117">
        <f t="shared" si="173"/>
        <v>99.908356820500416</v>
      </c>
      <c r="H2833" s="455">
        <v>100</v>
      </c>
      <c r="I2833" s="111"/>
    </row>
    <row r="2834" spans="3:9" ht="16.5" hidden="1" customHeight="1" x14ac:dyDescent="0.25">
      <c r="C2834" s="109"/>
      <c r="D2834" s="453" t="s">
        <v>2221</v>
      </c>
      <c r="E2834" s="462">
        <v>1341450000</v>
      </c>
      <c r="F2834" s="253">
        <v>1338900000</v>
      </c>
      <c r="G2834" s="117">
        <f t="shared" si="173"/>
        <v>99.80990718998099</v>
      </c>
      <c r="H2834" s="455">
        <v>100</v>
      </c>
      <c r="I2834" s="111"/>
    </row>
    <row r="2835" spans="3:9" ht="16.5" hidden="1" customHeight="1" x14ac:dyDescent="0.25">
      <c r="C2835" s="109"/>
      <c r="D2835" s="453"/>
      <c r="E2835" s="462"/>
      <c r="F2835" s="253"/>
      <c r="G2835" s="114"/>
      <c r="H2835" s="455"/>
      <c r="I2835" s="111"/>
    </row>
    <row r="2836" spans="3:9" s="115" customFormat="1" ht="16.5" hidden="1" customHeight="1" x14ac:dyDescent="0.25">
      <c r="C2836" s="159"/>
      <c r="D2836" s="447" t="s">
        <v>1124</v>
      </c>
      <c r="E2836" s="467">
        <v>750000000</v>
      </c>
      <c r="F2836" s="254">
        <v>749600000</v>
      </c>
      <c r="G2836" s="114">
        <f>+F2836/E2836*100</f>
        <v>99.946666666666658</v>
      </c>
      <c r="H2836" s="452">
        <f>+H2837</f>
        <v>100</v>
      </c>
      <c r="I2836" s="121"/>
    </row>
    <row r="2837" spans="3:9" s="115" customFormat="1" ht="16.5" hidden="1" customHeight="1" x14ac:dyDescent="0.25">
      <c r="C2837" s="159"/>
      <c r="D2837" s="450" t="s">
        <v>2222</v>
      </c>
      <c r="E2837" s="467">
        <f>+E2838</f>
        <v>750000000</v>
      </c>
      <c r="F2837" s="254">
        <f>+F2838</f>
        <v>749600000</v>
      </c>
      <c r="G2837" s="114">
        <f>+F2837/E2837*100</f>
        <v>99.946666666666658</v>
      </c>
      <c r="H2837" s="452">
        <f>+H2838</f>
        <v>100</v>
      </c>
      <c r="I2837" s="121"/>
    </row>
    <row r="2838" spans="3:9" ht="16.5" hidden="1" customHeight="1" x14ac:dyDescent="0.25">
      <c r="C2838" s="109"/>
      <c r="D2838" s="453" t="s">
        <v>2223</v>
      </c>
      <c r="E2838" s="462">
        <v>750000000</v>
      </c>
      <c r="F2838" s="253">
        <v>749600000</v>
      </c>
      <c r="G2838" s="117">
        <f>+F2838/E2838*100</f>
        <v>99.946666666666658</v>
      </c>
      <c r="H2838" s="455">
        <v>100</v>
      </c>
      <c r="I2838" s="111"/>
    </row>
    <row r="2839" spans="3:9" ht="16.5" hidden="1" customHeight="1" x14ac:dyDescent="0.25">
      <c r="C2839" s="109"/>
      <c r="D2839" s="450"/>
      <c r="E2839" s="468"/>
      <c r="F2839" s="253"/>
      <c r="G2839" s="114"/>
      <c r="H2839" s="455"/>
      <c r="I2839" s="111"/>
    </row>
    <row r="2840" spans="3:9" s="115" customFormat="1" ht="16.5" hidden="1" customHeight="1" x14ac:dyDescent="0.25">
      <c r="C2840" s="159"/>
      <c r="D2840" s="447" t="s">
        <v>1978</v>
      </c>
      <c r="E2840" s="464">
        <v>1500000000</v>
      </c>
      <c r="F2840" s="254">
        <v>1495600000</v>
      </c>
      <c r="G2840" s="114">
        <f>+F2840/E2840*100</f>
        <v>99.706666666666663</v>
      </c>
      <c r="H2840" s="452">
        <f>+H2841</f>
        <v>100</v>
      </c>
      <c r="I2840" s="121"/>
    </row>
    <row r="2841" spans="3:9" s="115" customFormat="1" ht="16.5" hidden="1" customHeight="1" x14ac:dyDescent="0.25">
      <c r="C2841" s="159"/>
      <c r="D2841" s="463" t="s">
        <v>1979</v>
      </c>
      <c r="E2841" s="460">
        <f>+E2842</f>
        <v>1500000000</v>
      </c>
      <c r="F2841" s="254">
        <f>+F2842</f>
        <v>1495600000</v>
      </c>
      <c r="G2841" s="114">
        <f>+F2841/E2841*100</f>
        <v>99.706666666666663</v>
      </c>
      <c r="H2841" s="452">
        <f>+H2842</f>
        <v>100</v>
      </c>
      <c r="I2841" s="121"/>
    </row>
    <row r="2842" spans="3:9" ht="16.5" hidden="1" customHeight="1" x14ac:dyDescent="0.25">
      <c r="C2842" s="109"/>
      <c r="D2842" s="465" t="s">
        <v>2224</v>
      </c>
      <c r="E2842" s="466">
        <v>1500000000</v>
      </c>
      <c r="F2842" s="253">
        <v>1495600000</v>
      </c>
      <c r="G2842" s="117">
        <f>+F2842/E2842*100</f>
        <v>99.706666666666663</v>
      </c>
      <c r="H2842" s="455">
        <v>100</v>
      </c>
      <c r="I2842" s="111"/>
    </row>
    <row r="2843" spans="3:9" ht="16.5" hidden="1" customHeight="1" x14ac:dyDescent="0.25">
      <c r="C2843" s="109"/>
      <c r="D2843" s="470"/>
      <c r="E2843" s="468"/>
      <c r="F2843" s="253"/>
      <c r="G2843" s="114"/>
      <c r="H2843" s="455"/>
      <c r="I2843" s="111"/>
    </row>
    <row r="2844" spans="3:9" s="115" customFormat="1" ht="16.5" hidden="1" customHeight="1" x14ac:dyDescent="0.25">
      <c r="C2844" s="159"/>
      <c r="D2844" s="447" t="s">
        <v>2225</v>
      </c>
      <c r="E2844" s="464">
        <v>750000000</v>
      </c>
      <c r="F2844" s="254">
        <v>750000000</v>
      </c>
      <c r="G2844" s="114">
        <f>+F2844/E2844*100</f>
        <v>100</v>
      </c>
      <c r="H2844" s="452">
        <f>+H2845</f>
        <v>100</v>
      </c>
      <c r="I2844" s="121"/>
    </row>
    <row r="2845" spans="3:9" s="115" customFormat="1" ht="16.5" hidden="1" customHeight="1" x14ac:dyDescent="0.25">
      <c r="C2845" s="159"/>
      <c r="D2845" s="471" t="s">
        <v>1897</v>
      </c>
      <c r="E2845" s="467">
        <f>+E2846</f>
        <v>750000000</v>
      </c>
      <c r="F2845" s="254">
        <f>+F2846</f>
        <v>750000000</v>
      </c>
      <c r="G2845" s="114">
        <f>+F2845/E2845*100</f>
        <v>100</v>
      </c>
      <c r="H2845" s="452">
        <f>+H2846</f>
        <v>100</v>
      </c>
      <c r="I2845" s="121"/>
    </row>
    <row r="2846" spans="3:9" ht="16.5" hidden="1" customHeight="1" x14ac:dyDescent="0.25">
      <c r="C2846" s="109"/>
      <c r="D2846" s="472" t="s">
        <v>2226</v>
      </c>
      <c r="E2846" s="469">
        <v>750000000</v>
      </c>
      <c r="F2846" s="253">
        <v>750000000</v>
      </c>
      <c r="G2846" s="117">
        <f>+F2846/E2846*100</f>
        <v>100</v>
      </c>
      <c r="H2846" s="455">
        <v>100</v>
      </c>
      <c r="I2846" s="111"/>
    </row>
    <row r="2847" spans="3:9" ht="16.5" hidden="1" customHeight="1" x14ac:dyDescent="0.25">
      <c r="C2847" s="109"/>
      <c r="D2847" s="450"/>
      <c r="E2847" s="466"/>
      <c r="F2847" s="253"/>
      <c r="G2847" s="114"/>
      <c r="H2847" s="455"/>
      <c r="I2847" s="111"/>
    </row>
    <row r="2848" spans="3:9" s="115" customFormat="1" ht="16.5" hidden="1" customHeight="1" x14ac:dyDescent="0.25">
      <c r="C2848" s="159"/>
      <c r="D2848" s="447" t="s">
        <v>1446</v>
      </c>
      <c r="E2848" s="467">
        <f>+E2849+E2851+E2854</f>
        <v>8760670000</v>
      </c>
      <c r="F2848" s="254">
        <f>+F2849+F2851+F2854</f>
        <v>8738250200</v>
      </c>
      <c r="G2848" s="114">
        <f t="shared" ref="G2848:G2855" si="174">+F2848/E2848*100</f>
        <v>99.744085783393274</v>
      </c>
      <c r="H2848" s="452">
        <f>(H2849+H2851+H2854)/3</f>
        <v>99.833333333333329</v>
      </c>
      <c r="I2848" s="121"/>
    </row>
    <row r="2849" spans="3:9" s="115" customFormat="1" ht="16.5" hidden="1" customHeight="1" x14ac:dyDescent="0.25">
      <c r="C2849" s="159"/>
      <c r="D2849" s="471" t="s">
        <v>2227</v>
      </c>
      <c r="E2849" s="467">
        <f>+E2850</f>
        <v>1336000000</v>
      </c>
      <c r="F2849" s="254">
        <f>+F2850</f>
        <v>1336000000</v>
      </c>
      <c r="G2849" s="114">
        <f t="shared" si="174"/>
        <v>100</v>
      </c>
      <c r="H2849" s="452">
        <f>+H2850</f>
        <v>100</v>
      </c>
      <c r="I2849" s="121"/>
    </row>
    <row r="2850" spans="3:9" ht="16.5" hidden="1" customHeight="1" x14ac:dyDescent="0.2">
      <c r="C2850" s="109"/>
      <c r="D2850" s="473" t="s">
        <v>2228</v>
      </c>
      <c r="E2850" s="469">
        <v>1336000000</v>
      </c>
      <c r="F2850" s="253">
        <v>1336000000</v>
      </c>
      <c r="G2850" s="117">
        <f t="shared" si="174"/>
        <v>100</v>
      </c>
      <c r="H2850" s="455">
        <v>100</v>
      </c>
      <c r="I2850" s="111"/>
    </row>
    <row r="2851" spans="3:9" s="115" customFormat="1" ht="16.5" hidden="1" customHeight="1" x14ac:dyDescent="0.25">
      <c r="C2851" s="159"/>
      <c r="D2851" s="471" t="s">
        <v>1985</v>
      </c>
      <c r="E2851" s="467">
        <f>+E2852+E2853</f>
        <v>3617520000</v>
      </c>
      <c r="F2851" s="254">
        <f>+F2852+F2853</f>
        <v>3606147600</v>
      </c>
      <c r="G2851" s="114">
        <f t="shared" si="174"/>
        <v>99.685629934319635</v>
      </c>
      <c r="H2851" s="452">
        <f>SUM(H2852:H2853)/2</f>
        <v>99.5</v>
      </c>
      <c r="I2851" s="121"/>
    </row>
    <row r="2852" spans="3:9" ht="16.5" hidden="1" customHeight="1" x14ac:dyDescent="0.25">
      <c r="C2852" s="109"/>
      <c r="D2852" s="472" t="s">
        <v>4191</v>
      </c>
      <c r="E2852" s="462">
        <v>1140000000</v>
      </c>
      <c r="F2852" s="253">
        <v>1133550000</v>
      </c>
      <c r="G2852" s="117">
        <f t="shared" si="174"/>
        <v>99.434210526315795</v>
      </c>
      <c r="H2852" s="455">
        <v>99</v>
      </c>
      <c r="I2852" s="111"/>
    </row>
    <row r="2853" spans="3:9" ht="16.5" hidden="1" customHeight="1" x14ac:dyDescent="0.25">
      <c r="C2853" s="109"/>
      <c r="D2853" s="472" t="s">
        <v>2229</v>
      </c>
      <c r="E2853" s="462">
        <v>2477520000</v>
      </c>
      <c r="F2853" s="108">
        <v>2472597600</v>
      </c>
      <c r="G2853" s="117">
        <f t="shared" si="174"/>
        <v>99.801317446478734</v>
      </c>
      <c r="H2853" s="455">
        <v>100</v>
      </c>
      <c r="I2853" s="111"/>
    </row>
    <row r="2854" spans="3:9" s="115" customFormat="1" ht="16.5" hidden="1" customHeight="1" x14ac:dyDescent="0.25">
      <c r="C2854" s="159"/>
      <c r="D2854" s="471" t="s">
        <v>2230</v>
      </c>
      <c r="E2854" s="467">
        <f>+E2855</f>
        <v>3807150000</v>
      </c>
      <c r="F2854" s="254">
        <f>+F2855</f>
        <v>3796102600</v>
      </c>
      <c r="G2854" s="114">
        <f t="shared" si="174"/>
        <v>99.709824934662421</v>
      </c>
      <c r="H2854" s="452">
        <f>+H2855</f>
        <v>100</v>
      </c>
      <c r="I2854" s="121"/>
    </row>
    <row r="2855" spans="3:9" ht="16.5" hidden="1" customHeight="1" x14ac:dyDescent="0.25">
      <c r="C2855" s="109"/>
      <c r="D2855" s="472" t="s">
        <v>4190</v>
      </c>
      <c r="E2855" s="462">
        <v>3807150000</v>
      </c>
      <c r="F2855" s="253">
        <v>3796102600</v>
      </c>
      <c r="G2855" s="117">
        <f t="shared" si="174"/>
        <v>99.709824934662421</v>
      </c>
      <c r="H2855" s="455">
        <v>100</v>
      </c>
      <c r="I2855" s="111"/>
    </row>
    <row r="2856" spans="3:9" ht="16.5" hidden="1" customHeight="1" x14ac:dyDescent="0.25">
      <c r="C2856" s="109"/>
      <c r="D2856" s="474"/>
      <c r="E2856" s="466"/>
      <c r="F2856" s="253"/>
      <c r="G2856" s="114"/>
      <c r="H2856" s="455"/>
      <c r="I2856" s="111"/>
    </row>
    <row r="2857" spans="3:9" s="115" customFormat="1" ht="16.5" hidden="1" customHeight="1" x14ac:dyDescent="0.25">
      <c r="C2857" s="159"/>
      <c r="D2857" s="447" t="s">
        <v>1432</v>
      </c>
      <c r="E2857" s="467">
        <v>6961163000</v>
      </c>
      <c r="F2857" s="254">
        <v>5002267000</v>
      </c>
      <c r="G2857" s="114">
        <f t="shared" ref="G2857:G2868" si="175">+F2857/E2857*100</f>
        <v>71.859644717412891</v>
      </c>
      <c r="H2857" s="452">
        <f>(H2858+H2858+H2861+H2863+H2866)/5</f>
        <v>73.3</v>
      </c>
      <c r="I2857" s="121"/>
    </row>
    <row r="2858" spans="3:9" s="115" customFormat="1" ht="16.5" hidden="1" customHeight="1" x14ac:dyDescent="0.2">
      <c r="C2858" s="159"/>
      <c r="D2858" s="471" t="s">
        <v>2231</v>
      </c>
      <c r="E2858" s="475">
        <f>SUM(E2859:E2860)</f>
        <v>1862394000</v>
      </c>
      <c r="F2858" s="254">
        <f>+F2859+F2860</f>
        <v>858569000</v>
      </c>
      <c r="G2858" s="114">
        <f t="shared" si="175"/>
        <v>46.100288123780473</v>
      </c>
      <c r="H2858" s="452">
        <f>SUM(H2859:H2860)/2</f>
        <v>56</v>
      </c>
      <c r="I2858" s="121"/>
    </row>
    <row r="2859" spans="3:9" ht="16.5" hidden="1" customHeight="1" x14ac:dyDescent="0.2">
      <c r="C2859" s="109"/>
      <c r="D2859" s="473" t="s">
        <v>2232</v>
      </c>
      <c r="E2859" s="469">
        <v>728034000</v>
      </c>
      <c r="F2859" s="253">
        <v>726034000</v>
      </c>
      <c r="G2859" s="117">
        <f t="shared" si="175"/>
        <v>99.725287555251541</v>
      </c>
      <c r="H2859" s="455">
        <v>100</v>
      </c>
      <c r="I2859" s="111"/>
    </row>
    <row r="2860" spans="3:9" ht="16.5" hidden="1" customHeight="1" x14ac:dyDescent="0.2">
      <c r="C2860" s="109"/>
      <c r="D2860" s="473" t="s">
        <v>2233</v>
      </c>
      <c r="E2860" s="462">
        <v>1134360000</v>
      </c>
      <c r="F2860" s="253">
        <v>132535000</v>
      </c>
      <c r="G2860" s="117">
        <f t="shared" si="175"/>
        <v>11.683680665749851</v>
      </c>
      <c r="H2860" s="455">
        <v>12</v>
      </c>
      <c r="I2860" s="111"/>
    </row>
    <row r="2861" spans="3:9" s="115" customFormat="1" ht="16.5" hidden="1" customHeight="1" x14ac:dyDescent="0.2">
      <c r="C2861" s="159"/>
      <c r="D2861" s="476" t="s">
        <v>2234</v>
      </c>
      <c r="E2861" s="467">
        <f>+E2862</f>
        <v>1587990500</v>
      </c>
      <c r="F2861" s="254">
        <f>+F2862</f>
        <v>1586490000</v>
      </c>
      <c r="G2861" s="114">
        <f t="shared" si="175"/>
        <v>99.905509510289889</v>
      </c>
      <c r="H2861" s="452">
        <f>+H2862</f>
        <v>100</v>
      </c>
      <c r="I2861" s="121"/>
    </row>
    <row r="2862" spans="3:9" ht="27.75" hidden="1" customHeight="1" x14ac:dyDescent="0.2">
      <c r="C2862" s="109"/>
      <c r="D2862" s="473" t="s">
        <v>2235</v>
      </c>
      <c r="E2862" s="462">
        <v>1587990500</v>
      </c>
      <c r="F2862" s="253">
        <v>1586490000</v>
      </c>
      <c r="G2862" s="117">
        <f t="shared" si="175"/>
        <v>99.905509510289889</v>
      </c>
      <c r="H2862" s="455">
        <v>100</v>
      </c>
      <c r="I2862" s="111"/>
    </row>
    <row r="2863" spans="3:9" s="115" customFormat="1" ht="16.5" hidden="1" customHeight="1" x14ac:dyDescent="0.2">
      <c r="C2863" s="159"/>
      <c r="D2863" s="476" t="s">
        <v>2236</v>
      </c>
      <c r="E2863" s="467">
        <f>+E2864</f>
        <v>1236294500</v>
      </c>
      <c r="F2863" s="254">
        <f>+F2864</f>
        <v>1231974000</v>
      </c>
      <c r="G2863" s="114">
        <f t="shared" si="175"/>
        <v>99.650528251965852</v>
      </c>
      <c r="H2863" s="452">
        <f>SUM(H2864:H2865)/2</f>
        <v>100</v>
      </c>
      <c r="I2863" s="121"/>
    </row>
    <row r="2864" spans="3:9" ht="21.75" hidden="1" customHeight="1" x14ac:dyDescent="0.2">
      <c r="C2864" s="109"/>
      <c r="D2864" s="473" t="s">
        <v>2237</v>
      </c>
      <c r="E2864" s="462">
        <v>1236294500</v>
      </c>
      <c r="F2864" s="253">
        <v>1231974000</v>
      </c>
      <c r="G2864" s="117">
        <f t="shared" si="175"/>
        <v>99.650528251965852</v>
      </c>
      <c r="H2864" s="455">
        <v>100</v>
      </c>
      <c r="I2864" s="111"/>
    </row>
    <row r="2865" spans="3:9" ht="16.5" hidden="1" customHeight="1" x14ac:dyDescent="0.2">
      <c r="C2865" s="109"/>
      <c r="D2865" s="473" t="s">
        <v>2238</v>
      </c>
      <c r="E2865" s="462">
        <v>754800000</v>
      </c>
      <c r="F2865" s="253">
        <f>+E2865</f>
        <v>754800000</v>
      </c>
      <c r="G2865" s="117">
        <f t="shared" si="175"/>
        <v>100</v>
      </c>
      <c r="H2865" s="455">
        <v>100</v>
      </c>
      <c r="I2865" s="111"/>
    </row>
    <row r="2866" spans="3:9" s="115" customFormat="1" ht="16.5" hidden="1" customHeight="1" x14ac:dyDescent="0.2">
      <c r="C2866" s="159"/>
      <c r="D2866" s="476" t="s">
        <v>1941</v>
      </c>
      <c r="E2866" s="467">
        <f>+E2867+E2868</f>
        <v>1519684000</v>
      </c>
      <c r="F2866" s="254">
        <f>+F2867+F2868</f>
        <v>515534000</v>
      </c>
      <c r="G2866" s="114">
        <f t="shared" si="175"/>
        <v>33.923763098117767</v>
      </c>
      <c r="H2866" s="452">
        <f>SUM(H2867:H2868)/2</f>
        <v>54.5</v>
      </c>
      <c r="I2866" s="121"/>
    </row>
    <row r="2867" spans="3:9" ht="16.5" hidden="1" customHeight="1" x14ac:dyDescent="0.2">
      <c r="C2867" s="109"/>
      <c r="D2867" s="473" t="s">
        <v>2239</v>
      </c>
      <c r="E2867" s="462">
        <v>1114000000</v>
      </c>
      <c r="F2867" s="253">
        <v>112100000</v>
      </c>
      <c r="G2867" s="117">
        <f t="shared" si="175"/>
        <v>10.062836624775585</v>
      </c>
      <c r="H2867" s="455">
        <v>10</v>
      </c>
      <c r="I2867" s="111"/>
    </row>
    <row r="2868" spans="3:9" ht="18" hidden="1" customHeight="1" x14ac:dyDescent="0.2">
      <c r="C2868" s="109"/>
      <c r="D2868" s="473" t="s">
        <v>2240</v>
      </c>
      <c r="E2868" s="462">
        <v>405684000</v>
      </c>
      <c r="F2868" s="253">
        <v>403434000</v>
      </c>
      <c r="G2868" s="117">
        <f t="shared" si="175"/>
        <v>99.445381134084656</v>
      </c>
      <c r="H2868" s="455">
        <v>99</v>
      </c>
      <c r="I2868" s="111"/>
    </row>
    <row r="2869" spans="3:9" ht="16.5" hidden="1" customHeight="1" x14ac:dyDescent="0.25">
      <c r="C2869" s="109"/>
      <c r="D2869" s="477"/>
      <c r="E2869" s="468"/>
      <c r="F2869" s="253"/>
      <c r="G2869" s="114"/>
      <c r="H2869" s="455"/>
      <c r="I2869" s="111"/>
    </row>
    <row r="2870" spans="3:9" s="115" customFormat="1" ht="16.5" hidden="1" customHeight="1" x14ac:dyDescent="0.25">
      <c r="C2870" s="159"/>
      <c r="D2870" s="447" t="s">
        <v>2241</v>
      </c>
      <c r="E2870" s="467">
        <f>+E2871+E2873+E2875</f>
        <v>2234150000</v>
      </c>
      <c r="F2870" s="254">
        <f>+F2871+F2873+F2875</f>
        <v>2211760280</v>
      </c>
      <c r="G2870" s="114">
        <f t="shared" ref="G2870:G2876" si="176">+F2870/E2870*100</f>
        <v>98.997841684757077</v>
      </c>
      <c r="H2870" s="452">
        <f>(H2871+H2873+H2875)/3</f>
        <v>99.333333333333329</v>
      </c>
      <c r="I2870" s="121"/>
    </row>
    <row r="2871" spans="3:9" s="115" customFormat="1" ht="29.25" hidden="1" customHeight="1" x14ac:dyDescent="0.25">
      <c r="C2871" s="159"/>
      <c r="D2871" s="471" t="s">
        <v>2242</v>
      </c>
      <c r="E2871" s="467">
        <f>+E2872</f>
        <v>863690000</v>
      </c>
      <c r="F2871" s="254">
        <f>+F2872</f>
        <v>854270000</v>
      </c>
      <c r="G2871" s="114">
        <f t="shared" si="176"/>
        <v>98.909330894186581</v>
      </c>
      <c r="H2871" s="452">
        <f>+H2872</f>
        <v>99</v>
      </c>
      <c r="I2871" s="121"/>
    </row>
    <row r="2872" spans="3:9" ht="16.5" hidden="1" customHeight="1" x14ac:dyDescent="0.25">
      <c r="C2872" s="109"/>
      <c r="D2872" s="472" t="s">
        <v>4192</v>
      </c>
      <c r="E2872" s="469">
        <v>863690000</v>
      </c>
      <c r="F2872" s="253">
        <v>854270000</v>
      </c>
      <c r="G2872" s="117">
        <f t="shared" si="176"/>
        <v>98.909330894186581</v>
      </c>
      <c r="H2872" s="455">
        <v>99</v>
      </c>
      <c r="I2872" s="111"/>
    </row>
    <row r="2873" spans="3:9" s="115" customFormat="1" ht="16.5" hidden="1" customHeight="1" x14ac:dyDescent="0.25">
      <c r="C2873" s="159"/>
      <c r="D2873" s="471" t="s">
        <v>2243</v>
      </c>
      <c r="E2873" s="467">
        <f>+E2874</f>
        <v>495460000</v>
      </c>
      <c r="F2873" s="254">
        <f>+F2874</f>
        <v>495240000</v>
      </c>
      <c r="G2873" s="114">
        <f t="shared" si="176"/>
        <v>99.955596819117588</v>
      </c>
      <c r="H2873" s="452">
        <f>+H2874</f>
        <v>100</v>
      </c>
      <c r="I2873" s="121"/>
    </row>
    <row r="2874" spans="3:9" ht="16.5" hidden="1" customHeight="1" x14ac:dyDescent="0.25">
      <c r="C2874" s="109"/>
      <c r="D2874" s="472" t="s">
        <v>2244</v>
      </c>
      <c r="E2874" s="462">
        <v>495460000</v>
      </c>
      <c r="F2874" s="253">
        <v>495240000</v>
      </c>
      <c r="G2874" s="117">
        <f t="shared" si="176"/>
        <v>99.955596819117588</v>
      </c>
      <c r="H2874" s="455">
        <v>100</v>
      </c>
      <c r="I2874" s="111"/>
    </row>
    <row r="2875" spans="3:9" s="115" customFormat="1" ht="16.5" hidden="1" customHeight="1" x14ac:dyDescent="0.25">
      <c r="C2875" s="159"/>
      <c r="D2875" s="478" t="s">
        <v>2245</v>
      </c>
      <c r="E2875" s="464">
        <f>+E2876</f>
        <v>875000000</v>
      </c>
      <c r="F2875" s="254">
        <f>+F2876</f>
        <v>862250280</v>
      </c>
      <c r="G2875" s="114">
        <f t="shared" si="176"/>
        <v>98.542889142857135</v>
      </c>
      <c r="H2875" s="452">
        <f>+H2876</f>
        <v>99</v>
      </c>
      <c r="I2875" s="121"/>
    </row>
    <row r="2876" spans="3:9" ht="16.5" hidden="1" customHeight="1" x14ac:dyDescent="0.25">
      <c r="C2876" s="109"/>
      <c r="D2876" s="479" t="s">
        <v>2246</v>
      </c>
      <c r="E2876" s="466">
        <v>875000000</v>
      </c>
      <c r="F2876" s="253">
        <v>862250280</v>
      </c>
      <c r="G2876" s="117">
        <f t="shared" si="176"/>
        <v>98.542889142857135</v>
      </c>
      <c r="H2876" s="455">
        <v>99</v>
      </c>
      <c r="I2876" s="111"/>
    </row>
    <row r="2877" spans="3:9" ht="16.5" hidden="1" customHeight="1" x14ac:dyDescent="0.25">
      <c r="C2877" s="109"/>
      <c r="D2877" s="453"/>
      <c r="E2877" s="468"/>
      <c r="F2877" s="253"/>
      <c r="G2877" s="114"/>
      <c r="H2877" s="455"/>
      <c r="I2877" s="111"/>
    </row>
    <row r="2878" spans="3:9" s="115" customFormat="1" ht="16.5" hidden="1" customHeight="1" x14ac:dyDescent="0.25">
      <c r="C2878" s="159"/>
      <c r="D2878" s="447" t="s">
        <v>2247</v>
      </c>
      <c r="E2878" s="467">
        <f>+E2879+E2881</f>
        <v>4711380000</v>
      </c>
      <c r="F2878" s="254">
        <f>+F2879+F2881</f>
        <v>4659952500</v>
      </c>
      <c r="G2878" s="114">
        <f>+F2878/E2878*100</f>
        <v>98.908440838989847</v>
      </c>
      <c r="H2878" s="452">
        <f>(H2879+H2881)/2</f>
        <v>99.5</v>
      </c>
      <c r="I2878" s="121"/>
    </row>
    <row r="2879" spans="3:9" s="115" customFormat="1" ht="16.5" hidden="1" customHeight="1" x14ac:dyDescent="0.25">
      <c r="C2879" s="159"/>
      <c r="D2879" s="478" t="s">
        <v>2248</v>
      </c>
      <c r="E2879" s="464">
        <f>+E2880</f>
        <v>394400000</v>
      </c>
      <c r="F2879" s="254">
        <f>+F2880</f>
        <v>392600000</v>
      </c>
      <c r="G2879" s="114">
        <f>+F2879/E2879*100</f>
        <v>99.543610547667342</v>
      </c>
      <c r="H2879" s="452">
        <f>+H2880</f>
        <v>100</v>
      </c>
      <c r="I2879" s="121"/>
    </row>
    <row r="2880" spans="3:9" ht="16.5" hidden="1" customHeight="1" x14ac:dyDescent="0.25">
      <c r="C2880" s="109"/>
      <c r="D2880" s="479" t="s">
        <v>2249</v>
      </c>
      <c r="E2880" s="466">
        <v>394400000</v>
      </c>
      <c r="F2880" s="253">
        <v>392600000</v>
      </c>
      <c r="G2880" s="117">
        <f>+F2880/E2880*100</f>
        <v>99.543610547667342</v>
      </c>
      <c r="H2880" s="455">
        <v>100</v>
      </c>
      <c r="I2880" s="111"/>
    </row>
    <row r="2881" spans="3:9" s="115" customFormat="1" ht="16.5" hidden="1" customHeight="1" x14ac:dyDescent="0.2">
      <c r="C2881" s="159"/>
      <c r="D2881" s="476" t="s">
        <v>2250</v>
      </c>
      <c r="E2881" s="467">
        <f>+E2882</f>
        <v>4316980000</v>
      </c>
      <c r="F2881" s="254">
        <f>+F2882</f>
        <v>4267352500</v>
      </c>
      <c r="G2881" s="114">
        <f>+F2881/E2881*100</f>
        <v>98.850411630352696</v>
      </c>
      <c r="H2881" s="452">
        <f>+H2882</f>
        <v>99</v>
      </c>
      <c r="I2881" s="121"/>
    </row>
    <row r="2882" spans="3:9" s="271" customFormat="1" ht="16.5" hidden="1" customHeight="1" x14ac:dyDescent="0.2">
      <c r="C2882" s="480"/>
      <c r="D2882" s="473" t="s">
        <v>2251</v>
      </c>
      <c r="E2882" s="481">
        <v>4316980000</v>
      </c>
      <c r="F2882" s="482">
        <v>4267352500</v>
      </c>
      <c r="G2882" s="366">
        <f>+F2882/E2882*100</f>
        <v>98.850411630352696</v>
      </c>
      <c r="H2882" s="483">
        <v>99</v>
      </c>
      <c r="I2882" s="270"/>
    </row>
    <row r="2883" spans="3:9" ht="16.5" hidden="1" customHeight="1" x14ac:dyDescent="0.25">
      <c r="C2883" s="109"/>
      <c r="D2883" s="450"/>
      <c r="E2883" s="466"/>
      <c r="F2883" s="253"/>
      <c r="G2883" s="114"/>
      <c r="H2883" s="455"/>
      <c r="I2883" s="111"/>
    </row>
    <row r="2884" spans="3:9" s="115" customFormat="1" ht="16.5" hidden="1" customHeight="1" x14ac:dyDescent="0.25">
      <c r="C2884" s="159"/>
      <c r="D2884" s="484" t="s">
        <v>2252</v>
      </c>
      <c r="E2884" s="460">
        <f>+E2885</f>
        <v>2081825800</v>
      </c>
      <c r="F2884" s="254">
        <f>+F2885</f>
        <v>1946410321</v>
      </c>
      <c r="G2884" s="114">
        <f>+F2884/E2884*100</f>
        <v>93.495350139286387</v>
      </c>
      <c r="H2884" s="452">
        <f>+H2885</f>
        <v>93</v>
      </c>
      <c r="I2884" s="121"/>
    </row>
    <row r="2885" spans="3:9" s="115" customFormat="1" ht="16.5" hidden="1" customHeight="1" x14ac:dyDescent="0.25">
      <c r="C2885" s="159"/>
      <c r="D2885" s="471" t="s">
        <v>2253</v>
      </c>
      <c r="E2885" s="467">
        <f>+E2886</f>
        <v>2081825800</v>
      </c>
      <c r="F2885" s="254">
        <f>+F2886</f>
        <v>1946410321</v>
      </c>
      <c r="G2885" s="114">
        <f>+F2885/E2885*100</f>
        <v>93.495350139286387</v>
      </c>
      <c r="H2885" s="452">
        <f>+H2886</f>
        <v>93</v>
      </c>
      <c r="I2885" s="121"/>
    </row>
    <row r="2886" spans="3:9" ht="23.25" hidden="1" customHeight="1" x14ac:dyDescent="0.25">
      <c r="C2886" s="109"/>
      <c r="D2886" s="472" t="s">
        <v>2254</v>
      </c>
      <c r="E2886" s="462">
        <v>2081825800</v>
      </c>
      <c r="F2886" s="253">
        <v>1946410321</v>
      </c>
      <c r="G2886" s="114">
        <f>+F2886/E2886*100</f>
        <v>93.495350139286387</v>
      </c>
      <c r="H2886" s="455">
        <v>93</v>
      </c>
      <c r="I2886" s="111"/>
    </row>
    <row r="2887" spans="3:9" ht="16.5" hidden="1" customHeight="1" x14ac:dyDescent="0.25">
      <c r="C2887" s="109"/>
      <c r="D2887" s="450"/>
      <c r="E2887" s="468"/>
      <c r="F2887" s="253"/>
      <c r="G2887" s="114"/>
      <c r="H2887" s="455"/>
      <c r="I2887" s="111"/>
    </row>
    <row r="2888" spans="3:9" s="115" customFormat="1" ht="16.5" hidden="1" customHeight="1" x14ac:dyDescent="0.25">
      <c r="C2888" s="159"/>
      <c r="D2888" s="447" t="s">
        <v>1411</v>
      </c>
      <c r="E2888" s="460">
        <f>+E2889+E2891</f>
        <v>1742521800</v>
      </c>
      <c r="F2888" s="254">
        <f>+F2889+F2891</f>
        <v>1742520000</v>
      </c>
      <c r="G2888" s="114">
        <f>+F2888/E2888*100</f>
        <v>99.999896701435816</v>
      </c>
      <c r="H2888" s="452">
        <v>100</v>
      </c>
      <c r="I2888" s="121"/>
    </row>
    <row r="2889" spans="3:9" s="115" customFormat="1" ht="16.5" hidden="1" customHeight="1" x14ac:dyDescent="0.25">
      <c r="C2889" s="159"/>
      <c r="D2889" s="450" t="s">
        <v>2255</v>
      </c>
      <c r="E2889" s="460">
        <f>+E2890</f>
        <v>1650000000</v>
      </c>
      <c r="F2889" s="254">
        <f>+F2890</f>
        <v>1650000000</v>
      </c>
      <c r="G2889" s="114">
        <f>+F2889/E2889*100</f>
        <v>100</v>
      </c>
      <c r="H2889" s="452">
        <v>100</v>
      </c>
      <c r="I2889" s="121"/>
    </row>
    <row r="2890" spans="3:9" ht="16.5" hidden="1" customHeight="1" x14ac:dyDescent="0.25">
      <c r="C2890" s="109"/>
      <c r="D2890" s="453" t="s">
        <v>2256</v>
      </c>
      <c r="E2890" s="468">
        <v>1650000000</v>
      </c>
      <c r="F2890" s="253">
        <v>1650000000</v>
      </c>
      <c r="G2890" s="114">
        <f>+F2890/E2890*100</f>
        <v>100</v>
      </c>
      <c r="H2890" s="455">
        <v>100</v>
      </c>
      <c r="I2890" s="111"/>
    </row>
    <row r="2891" spans="3:9" s="115" customFormat="1" ht="16.5" hidden="1" customHeight="1" x14ac:dyDescent="0.25">
      <c r="C2891" s="159"/>
      <c r="D2891" s="450" t="s">
        <v>2257</v>
      </c>
      <c r="E2891" s="460">
        <f>+E2892</f>
        <v>92521800</v>
      </c>
      <c r="F2891" s="254">
        <f>+F2892</f>
        <v>92520000</v>
      </c>
      <c r="G2891" s="114">
        <f>+F2891/E2891*100</f>
        <v>99.998054512558127</v>
      </c>
      <c r="H2891" s="452">
        <v>100</v>
      </c>
      <c r="I2891" s="121"/>
    </row>
    <row r="2892" spans="3:9" ht="16.5" hidden="1" customHeight="1" x14ac:dyDescent="0.25">
      <c r="C2892" s="109"/>
      <c r="D2892" s="453" t="s">
        <v>2258</v>
      </c>
      <c r="E2892" s="468">
        <v>92521800</v>
      </c>
      <c r="F2892" s="253">
        <v>92520000</v>
      </c>
      <c r="G2892" s="114">
        <f>+F2892/E2892*100</f>
        <v>99.998054512558127</v>
      </c>
      <c r="H2892" s="455">
        <v>100</v>
      </c>
      <c r="I2892" s="111"/>
    </row>
    <row r="2893" spans="3:9" ht="16.5" hidden="1" customHeight="1" x14ac:dyDescent="0.25">
      <c r="C2893" s="109"/>
      <c r="D2893" s="119"/>
      <c r="E2893" s="120"/>
      <c r="F2893" s="108"/>
      <c r="G2893" s="114"/>
      <c r="H2893" s="114"/>
      <c r="I2893" s="111"/>
    </row>
    <row r="2894" spans="3:9" s="115" customFormat="1" ht="16.5" customHeight="1" x14ac:dyDescent="0.25">
      <c r="C2894" s="159">
        <v>12</v>
      </c>
      <c r="D2894" s="217" t="s">
        <v>2259</v>
      </c>
      <c r="E2894" s="168">
        <f>E2895+E2919+E2929+E2935+E2941+E2945+E2949+E2953+E2968+E2972+E2976+E2980+E3018+E3022+E3032</f>
        <v>105686147000</v>
      </c>
      <c r="F2894" s="113">
        <f>+F2895+F2919+F2929+F2935+F2941+F2945+F2949+F2953+F2968+F2972+F2976+F2980+F3018+F3022+F3032</f>
        <v>95623766481.660004</v>
      </c>
      <c r="G2894" s="114">
        <f t="shared" ref="G2894:G2917" si="177">+F2894/E2894*100</f>
        <v>90.478997670016298</v>
      </c>
      <c r="H2894" s="114">
        <f>(H2895+H2919+H2929+H2935+H2941+H2945+H2949+H2953+H2968+H2972+H2976+H2980+H3018+H3022+H3032)/15</f>
        <v>62.99907194179135</v>
      </c>
      <c r="I2894" s="121"/>
    </row>
    <row r="2895" spans="3:9" s="115" customFormat="1" ht="16.5" hidden="1" customHeight="1" x14ac:dyDescent="0.25">
      <c r="C2895" s="159"/>
      <c r="D2895" s="217" t="s">
        <v>2260</v>
      </c>
      <c r="E2895" s="120">
        <f>E2896+E2898+E2905+E2913+E2916</f>
        <v>25065301733.980003</v>
      </c>
      <c r="F2895" s="113">
        <f>F2896+F2898+F2905+F2913+F2916</f>
        <v>23609076378.66</v>
      </c>
      <c r="G2895" s="114">
        <f t="shared" si="177"/>
        <v>94.190273986026426</v>
      </c>
      <c r="H2895" s="114">
        <f>(H2896+H2898+H2905+H2913+H2916)/5</f>
        <v>66.833333333333329</v>
      </c>
      <c r="I2895" s="121"/>
    </row>
    <row r="2896" spans="3:9" ht="16.5" hidden="1" customHeight="1" x14ac:dyDescent="0.25">
      <c r="C2896" s="109"/>
      <c r="D2896" s="217" t="s">
        <v>1862</v>
      </c>
      <c r="E2896" s="120">
        <f>E2897</f>
        <v>1642520000</v>
      </c>
      <c r="F2896" s="113">
        <f>F2897</f>
        <v>1630180000</v>
      </c>
      <c r="G2896" s="114">
        <f t="shared" si="177"/>
        <v>99.2487153885493</v>
      </c>
      <c r="H2896" s="114">
        <v>100</v>
      </c>
      <c r="I2896" s="111"/>
    </row>
    <row r="2897" spans="3:9" ht="16.5" hidden="1" customHeight="1" x14ac:dyDescent="0.25">
      <c r="C2897" s="109"/>
      <c r="D2897" s="119" t="s">
        <v>2261</v>
      </c>
      <c r="E2897" s="107">
        <v>1642520000</v>
      </c>
      <c r="F2897" s="108">
        <v>1630180000</v>
      </c>
      <c r="G2897" s="114">
        <f t="shared" si="177"/>
        <v>99.2487153885493</v>
      </c>
      <c r="H2897" s="114">
        <v>100</v>
      </c>
      <c r="I2897" s="111"/>
    </row>
    <row r="2898" spans="3:9" ht="16.5" hidden="1" customHeight="1" x14ac:dyDescent="0.25">
      <c r="C2898" s="109"/>
      <c r="D2898" s="217" t="s">
        <v>1870</v>
      </c>
      <c r="E2898" s="120">
        <f>SUM(E2899:E2904)</f>
        <v>12082711131.210007</v>
      </c>
      <c r="F2898" s="113">
        <f>SUM(F2899:F2904)</f>
        <v>11285551813</v>
      </c>
      <c r="G2898" s="114">
        <f t="shared" si="177"/>
        <v>93.402479712099378</v>
      </c>
      <c r="H2898" s="114">
        <f>SUM(H2899:H2904)/6</f>
        <v>39.166666666666664</v>
      </c>
      <c r="I2898" s="111"/>
    </row>
    <row r="2899" spans="3:9" ht="16.5" hidden="1" customHeight="1" x14ac:dyDescent="0.25">
      <c r="C2899" s="109"/>
      <c r="D2899" s="119" t="s">
        <v>2262</v>
      </c>
      <c r="E2899" s="107">
        <v>246161890</v>
      </c>
      <c r="F2899" s="108">
        <v>242702300</v>
      </c>
      <c r="G2899" s="114">
        <f t="shared" si="177"/>
        <v>98.594587488745717</v>
      </c>
      <c r="H2899" s="114">
        <v>100</v>
      </c>
      <c r="I2899" s="111"/>
    </row>
    <row r="2900" spans="3:9" ht="16.5" hidden="1" customHeight="1" x14ac:dyDescent="0.25">
      <c r="C2900" s="109"/>
      <c r="D2900" s="119" t="s">
        <v>2261</v>
      </c>
      <c r="E2900" s="107">
        <v>117500000</v>
      </c>
      <c r="F2900" s="108">
        <v>116700000</v>
      </c>
      <c r="G2900" s="114">
        <f t="shared" si="177"/>
        <v>99.319148936170208</v>
      </c>
      <c r="H2900" s="114">
        <v>25</v>
      </c>
      <c r="I2900" s="111"/>
    </row>
    <row r="2901" spans="3:9" ht="16.5" hidden="1" customHeight="1" x14ac:dyDescent="0.25">
      <c r="C2901" s="109"/>
      <c r="D2901" s="119" t="s">
        <v>2263</v>
      </c>
      <c r="E2901" s="107">
        <v>717758000</v>
      </c>
      <c r="F2901" s="108">
        <f>+E2901</f>
        <v>717758000</v>
      </c>
      <c r="G2901" s="114">
        <f t="shared" si="177"/>
        <v>100</v>
      </c>
      <c r="H2901" s="114">
        <v>30</v>
      </c>
      <c r="I2901" s="111"/>
    </row>
    <row r="2902" spans="3:9" ht="16.5" hidden="1" customHeight="1" x14ac:dyDescent="0.25">
      <c r="C2902" s="109"/>
      <c r="D2902" s="119" t="s">
        <v>2264</v>
      </c>
      <c r="E2902" s="107">
        <v>10889022418.500008</v>
      </c>
      <c r="F2902" s="108">
        <v>10208391513</v>
      </c>
      <c r="G2902" s="114">
        <f t="shared" si="177"/>
        <v>93.749384661531749</v>
      </c>
      <c r="H2902" s="114">
        <v>80</v>
      </c>
      <c r="I2902" s="111"/>
    </row>
    <row r="2903" spans="3:9" ht="16.5" hidden="1" customHeight="1" x14ac:dyDescent="0.25">
      <c r="C2903" s="109"/>
      <c r="D2903" s="119" t="s">
        <v>2265</v>
      </c>
      <c r="E2903" s="107">
        <v>5724000</v>
      </c>
      <c r="F2903" s="108">
        <v>0</v>
      </c>
      <c r="G2903" s="114">
        <f t="shared" si="177"/>
        <v>0</v>
      </c>
      <c r="H2903" s="114"/>
      <c r="I2903" s="111"/>
    </row>
    <row r="2904" spans="3:9" ht="16.5" hidden="1" customHeight="1" x14ac:dyDescent="0.25">
      <c r="C2904" s="109"/>
      <c r="D2904" s="119" t="s">
        <v>2266</v>
      </c>
      <c r="E2904" s="107">
        <v>106544822.70999999</v>
      </c>
      <c r="F2904" s="108">
        <v>0</v>
      </c>
      <c r="G2904" s="114">
        <f t="shared" si="177"/>
        <v>0</v>
      </c>
      <c r="H2904" s="114"/>
      <c r="I2904" s="111"/>
    </row>
    <row r="2905" spans="3:9" ht="16.5" hidden="1" customHeight="1" x14ac:dyDescent="0.25">
      <c r="C2905" s="109"/>
      <c r="D2905" s="217" t="s">
        <v>2165</v>
      </c>
      <c r="E2905" s="120">
        <f>SUM(E2906:E2912)</f>
        <v>9539776395.0199986</v>
      </c>
      <c r="F2905" s="113">
        <f>SUM(F2906:F2912)</f>
        <v>8900769910.6599998</v>
      </c>
      <c r="G2905" s="114">
        <f t="shared" si="177"/>
        <v>93.301661822036252</v>
      </c>
      <c r="H2905" s="114">
        <f>SUM(H2906:H2912)/7</f>
        <v>45</v>
      </c>
      <c r="I2905" s="111"/>
    </row>
    <row r="2906" spans="3:9" ht="16.5" hidden="1" customHeight="1" x14ac:dyDescent="0.25">
      <c r="C2906" s="109"/>
      <c r="D2906" s="119" t="s">
        <v>2267</v>
      </c>
      <c r="E2906" s="107">
        <v>2605580899.6399999</v>
      </c>
      <c r="F2906" s="108">
        <v>2091502440</v>
      </c>
      <c r="G2906" s="114">
        <f t="shared" si="177"/>
        <v>80.270101776113435</v>
      </c>
      <c r="H2906" s="114">
        <v>80</v>
      </c>
      <c r="I2906" s="111"/>
    </row>
    <row r="2907" spans="3:9" ht="16.5" hidden="1" customHeight="1" x14ac:dyDescent="0.25">
      <c r="C2907" s="109"/>
      <c r="D2907" s="119" t="s">
        <v>2262</v>
      </c>
      <c r="E2907" s="107">
        <v>57600000</v>
      </c>
      <c r="F2907" s="108">
        <f>+E2907</f>
        <v>57600000</v>
      </c>
      <c r="G2907" s="114">
        <f t="shared" si="177"/>
        <v>100</v>
      </c>
      <c r="H2907" s="114"/>
      <c r="I2907" s="111"/>
    </row>
    <row r="2908" spans="3:9" ht="16.5" hidden="1" customHeight="1" x14ac:dyDescent="0.25">
      <c r="C2908" s="109"/>
      <c r="D2908" s="119" t="s">
        <v>2268</v>
      </c>
      <c r="E2908" s="107">
        <v>4328802922.6599998</v>
      </c>
      <c r="F2908" s="108">
        <f>+E2908</f>
        <v>4328802922.6599998</v>
      </c>
      <c r="G2908" s="114">
        <f t="shared" si="177"/>
        <v>100</v>
      </c>
      <c r="H2908" s="114">
        <v>75</v>
      </c>
      <c r="I2908" s="111"/>
    </row>
    <row r="2909" spans="3:9" ht="30" hidden="1" customHeight="1" x14ac:dyDescent="0.25">
      <c r="C2909" s="109"/>
      <c r="D2909" s="119" t="s">
        <v>2269</v>
      </c>
      <c r="E2909" s="107">
        <v>1944000000</v>
      </c>
      <c r="F2909" s="108">
        <v>1944000000</v>
      </c>
      <c r="G2909" s="114">
        <f t="shared" si="177"/>
        <v>100</v>
      </c>
      <c r="H2909" s="114">
        <v>100</v>
      </c>
      <c r="I2909" s="111"/>
    </row>
    <row r="2910" spans="3:9" ht="16.5" hidden="1" customHeight="1" x14ac:dyDescent="0.25">
      <c r="C2910" s="109"/>
      <c r="D2910" s="119" t="s">
        <v>2270</v>
      </c>
      <c r="E2910" s="107">
        <v>183784825.63</v>
      </c>
      <c r="F2910" s="108">
        <v>182015900</v>
      </c>
      <c r="G2910" s="114">
        <f t="shared" si="177"/>
        <v>99.03750180465866</v>
      </c>
      <c r="H2910" s="114"/>
      <c r="I2910" s="111"/>
    </row>
    <row r="2911" spans="3:9" ht="16.5" hidden="1" customHeight="1" x14ac:dyDescent="0.25">
      <c r="C2911" s="109"/>
      <c r="D2911" s="119" t="s">
        <v>2271</v>
      </c>
      <c r="E2911" s="107">
        <v>20000000</v>
      </c>
      <c r="F2911" s="108">
        <v>144538350</v>
      </c>
      <c r="G2911" s="114">
        <f t="shared" si="177"/>
        <v>722.69174999999996</v>
      </c>
      <c r="H2911" s="114"/>
      <c r="I2911" s="111"/>
    </row>
    <row r="2912" spans="3:9" ht="18.75" hidden="1" customHeight="1" x14ac:dyDescent="0.25">
      <c r="C2912" s="109"/>
      <c r="D2912" s="119" t="s">
        <v>2272</v>
      </c>
      <c r="E2912" s="107">
        <v>400007747.08999997</v>
      </c>
      <c r="F2912" s="108">
        <v>152310298</v>
      </c>
      <c r="G2912" s="114">
        <f t="shared" si="177"/>
        <v>38.076837038291373</v>
      </c>
      <c r="H2912" s="114">
        <v>60</v>
      </c>
      <c r="I2912" s="111"/>
    </row>
    <row r="2913" spans="3:9" ht="16.5" hidden="1" customHeight="1" x14ac:dyDescent="0.25">
      <c r="C2913" s="109"/>
      <c r="D2913" s="217" t="s">
        <v>1885</v>
      </c>
      <c r="E2913" s="120">
        <f>SUM(E2914:E2915)</f>
        <v>1116600000</v>
      </c>
      <c r="F2913" s="113">
        <f>SUM(F2914:F2915)</f>
        <v>1111251370</v>
      </c>
      <c r="G2913" s="114">
        <f t="shared" si="177"/>
        <v>99.520989611320076</v>
      </c>
      <c r="H2913" s="114">
        <v>50</v>
      </c>
      <c r="I2913" s="111"/>
    </row>
    <row r="2914" spans="3:9" ht="16.5" hidden="1" customHeight="1" x14ac:dyDescent="0.25">
      <c r="C2914" s="109"/>
      <c r="D2914" s="119" t="s">
        <v>2273</v>
      </c>
      <c r="E2914" s="107">
        <v>875000000</v>
      </c>
      <c r="F2914" s="108">
        <v>870000000</v>
      </c>
      <c r="G2914" s="114">
        <f t="shared" si="177"/>
        <v>99.428571428571431</v>
      </c>
      <c r="H2914" s="114"/>
      <c r="I2914" s="111"/>
    </row>
    <row r="2915" spans="3:9" ht="16.5" hidden="1" customHeight="1" x14ac:dyDescent="0.25">
      <c r="C2915" s="109"/>
      <c r="D2915" s="119" t="s">
        <v>2274</v>
      </c>
      <c r="E2915" s="107">
        <v>241600000</v>
      </c>
      <c r="F2915" s="108">
        <v>241251370</v>
      </c>
      <c r="G2915" s="114">
        <f t="shared" si="177"/>
        <v>99.855699503311257</v>
      </c>
      <c r="H2915" s="114">
        <v>100</v>
      </c>
      <c r="I2915" s="111"/>
    </row>
    <row r="2916" spans="3:9" ht="16.5" hidden="1" customHeight="1" x14ac:dyDescent="0.25">
      <c r="C2916" s="109"/>
      <c r="D2916" s="217" t="s">
        <v>1888</v>
      </c>
      <c r="E2916" s="120">
        <f>E2917</f>
        <v>683694207.75</v>
      </c>
      <c r="F2916" s="113">
        <f>F2917</f>
        <v>681323285</v>
      </c>
      <c r="G2916" s="114">
        <f t="shared" si="177"/>
        <v>99.65321883334326</v>
      </c>
      <c r="H2916" s="114">
        <v>100</v>
      </c>
      <c r="I2916" s="111"/>
    </row>
    <row r="2917" spans="3:9" ht="16.5" hidden="1" customHeight="1" x14ac:dyDescent="0.25">
      <c r="C2917" s="109"/>
      <c r="D2917" s="119" t="s">
        <v>2275</v>
      </c>
      <c r="E2917" s="107">
        <v>683694207.75</v>
      </c>
      <c r="F2917" s="108">
        <v>681323285</v>
      </c>
      <c r="G2917" s="114">
        <f t="shared" si="177"/>
        <v>99.65321883334326</v>
      </c>
      <c r="H2917" s="114">
        <v>100</v>
      </c>
      <c r="I2917" s="111"/>
    </row>
    <row r="2918" spans="3:9" ht="16.5" hidden="1" customHeight="1" x14ac:dyDescent="0.25">
      <c r="C2918" s="109"/>
      <c r="D2918" s="119"/>
      <c r="E2918" s="107"/>
      <c r="F2918" s="108"/>
      <c r="G2918" s="114"/>
      <c r="H2918" s="114"/>
      <c r="I2918" s="111"/>
    </row>
    <row r="2919" spans="3:9" s="115" customFormat="1" ht="16.5" hidden="1" customHeight="1" x14ac:dyDescent="0.25">
      <c r="C2919" s="159"/>
      <c r="D2919" s="217" t="s">
        <v>2276</v>
      </c>
      <c r="E2919" s="120">
        <f>E2920+E2922+E2924+E2926</f>
        <v>14115417026</v>
      </c>
      <c r="F2919" s="113">
        <f>F2920+F2922+F2924+F2926</f>
        <v>13164360000</v>
      </c>
      <c r="G2919" s="114">
        <f t="shared" ref="G2919:G2927" si="178">+F2919/E2919*100</f>
        <v>93.262281771426274</v>
      </c>
      <c r="H2919" s="114">
        <f>(H2920+H2922+H2924+H2926)/4</f>
        <v>86.25</v>
      </c>
      <c r="I2919" s="121"/>
    </row>
    <row r="2920" spans="3:9" ht="16.5" hidden="1" customHeight="1" x14ac:dyDescent="0.25">
      <c r="C2920" s="109"/>
      <c r="D2920" s="217" t="s">
        <v>2277</v>
      </c>
      <c r="E2920" s="120">
        <f>E2921</f>
        <v>1656000000</v>
      </c>
      <c r="F2920" s="113">
        <f>F2921</f>
        <v>1274866000</v>
      </c>
      <c r="G2920" s="114">
        <f t="shared" si="178"/>
        <v>76.984661835748796</v>
      </c>
      <c r="H2920" s="114">
        <f>H2921</f>
        <v>75</v>
      </c>
      <c r="I2920" s="111"/>
    </row>
    <row r="2921" spans="3:9" ht="16.5" hidden="1" customHeight="1" x14ac:dyDescent="0.25">
      <c r="C2921" s="109"/>
      <c r="D2921" s="119" t="s">
        <v>2278</v>
      </c>
      <c r="E2921" s="107">
        <v>1656000000</v>
      </c>
      <c r="F2921" s="108">
        <v>1274866000</v>
      </c>
      <c r="G2921" s="114">
        <f t="shared" si="178"/>
        <v>76.984661835748796</v>
      </c>
      <c r="H2921" s="114">
        <v>75</v>
      </c>
      <c r="I2921" s="111"/>
    </row>
    <row r="2922" spans="3:9" ht="16.5" hidden="1" customHeight="1" x14ac:dyDescent="0.25">
      <c r="C2922" s="109"/>
      <c r="D2922" s="217" t="s">
        <v>1899</v>
      </c>
      <c r="E2922" s="120">
        <f>E2923</f>
        <v>1637303370</v>
      </c>
      <c r="F2922" s="113">
        <v>1298448000</v>
      </c>
      <c r="G2922" s="114">
        <f t="shared" si="178"/>
        <v>79.304057133895725</v>
      </c>
      <c r="H2922" s="114">
        <f>H2923</f>
        <v>100</v>
      </c>
      <c r="I2922" s="111"/>
    </row>
    <row r="2923" spans="3:9" ht="16.5" hidden="1" customHeight="1" x14ac:dyDescent="0.25">
      <c r="C2923" s="109"/>
      <c r="D2923" s="119" t="s">
        <v>2279</v>
      </c>
      <c r="E2923" s="107">
        <v>1637303370</v>
      </c>
      <c r="F2923" s="108">
        <v>1298448000</v>
      </c>
      <c r="G2923" s="114">
        <f t="shared" si="178"/>
        <v>79.304057133895725</v>
      </c>
      <c r="H2923" s="114">
        <v>100</v>
      </c>
      <c r="I2923" s="111"/>
    </row>
    <row r="2924" spans="3:9" ht="16.5" hidden="1" customHeight="1" x14ac:dyDescent="0.25">
      <c r="C2924" s="109"/>
      <c r="D2924" s="217" t="s">
        <v>1904</v>
      </c>
      <c r="E2924" s="120">
        <f>E2925</f>
        <v>7490400000</v>
      </c>
      <c r="F2924" s="113">
        <f>F2925</f>
        <v>7269346000</v>
      </c>
      <c r="G2924" s="114">
        <f t="shared" si="178"/>
        <v>97.048835843212643</v>
      </c>
      <c r="H2924" s="114">
        <f>H2925</f>
        <v>100</v>
      </c>
      <c r="I2924" s="111"/>
    </row>
    <row r="2925" spans="3:9" ht="16.5" hidden="1" customHeight="1" x14ac:dyDescent="0.25">
      <c r="C2925" s="109"/>
      <c r="D2925" s="119" t="s">
        <v>2280</v>
      </c>
      <c r="E2925" s="107">
        <v>7490400000</v>
      </c>
      <c r="F2925" s="108">
        <v>7269346000</v>
      </c>
      <c r="G2925" s="114">
        <f t="shared" si="178"/>
        <v>97.048835843212643</v>
      </c>
      <c r="H2925" s="114">
        <v>100</v>
      </c>
      <c r="I2925" s="111"/>
    </row>
    <row r="2926" spans="3:9" ht="16.5" hidden="1" customHeight="1" x14ac:dyDescent="0.25">
      <c r="C2926" s="109"/>
      <c r="D2926" s="217" t="s">
        <v>2281</v>
      </c>
      <c r="E2926" s="120">
        <f>E2927</f>
        <v>3331713656</v>
      </c>
      <c r="F2926" s="113">
        <f>F2927</f>
        <v>3321700000</v>
      </c>
      <c r="G2926" s="114">
        <f t="shared" si="178"/>
        <v>99.699444279013392</v>
      </c>
      <c r="H2926" s="114">
        <f>H2927</f>
        <v>70</v>
      </c>
      <c r="I2926" s="111"/>
    </row>
    <row r="2927" spans="3:9" ht="16.5" hidden="1" customHeight="1" x14ac:dyDescent="0.25">
      <c r="C2927" s="109"/>
      <c r="D2927" s="119" t="s">
        <v>2282</v>
      </c>
      <c r="E2927" s="107">
        <v>3331713656</v>
      </c>
      <c r="F2927" s="108">
        <v>3321700000</v>
      </c>
      <c r="G2927" s="114">
        <f t="shared" si="178"/>
        <v>99.699444279013392</v>
      </c>
      <c r="H2927" s="114">
        <v>70</v>
      </c>
      <c r="I2927" s="111"/>
    </row>
    <row r="2928" spans="3:9" ht="16.5" hidden="1" customHeight="1" x14ac:dyDescent="0.25">
      <c r="C2928" s="109"/>
      <c r="D2928" s="119"/>
      <c r="E2928" s="107"/>
      <c r="F2928" s="108"/>
      <c r="G2928" s="114"/>
      <c r="H2928" s="114"/>
      <c r="I2928" s="111"/>
    </row>
    <row r="2929" spans="3:9" s="115" customFormat="1" ht="16.5" hidden="1" customHeight="1" x14ac:dyDescent="0.25">
      <c r="C2929" s="159"/>
      <c r="D2929" s="217" t="s">
        <v>2283</v>
      </c>
      <c r="E2929" s="120">
        <f>E2930+E2932</f>
        <v>1737505000</v>
      </c>
      <c r="F2929" s="113">
        <f>F2930+F2932</f>
        <v>1737505000</v>
      </c>
      <c r="G2929" s="114">
        <f>+F2929/E2929*100</f>
        <v>100</v>
      </c>
      <c r="H2929" s="114">
        <f>(H2930+H2932)/2</f>
        <v>100</v>
      </c>
      <c r="I2929" s="121"/>
    </row>
    <row r="2930" spans="3:9" s="57" customFormat="1" ht="16.5" hidden="1" customHeight="1" x14ac:dyDescent="0.25">
      <c r="C2930" s="109"/>
      <c r="D2930" s="217" t="s">
        <v>1904</v>
      </c>
      <c r="E2930" s="120">
        <f>E2931</f>
        <v>900000000</v>
      </c>
      <c r="F2930" s="113">
        <f>F2931</f>
        <v>900000000</v>
      </c>
      <c r="G2930" s="114">
        <f>+F2930/E2930*100</f>
        <v>100</v>
      </c>
      <c r="H2930" s="114">
        <v>100</v>
      </c>
      <c r="I2930" s="111"/>
    </row>
    <row r="2931" spans="3:9" ht="16.5" hidden="1" customHeight="1" x14ac:dyDescent="0.25">
      <c r="C2931" s="109"/>
      <c r="D2931" s="119" t="s">
        <v>2284</v>
      </c>
      <c r="E2931" s="107">
        <v>900000000</v>
      </c>
      <c r="F2931" s="108">
        <v>900000000</v>
      </c>
      <c r="G2931" s="114">
        <f>+F2931/E2931*100</f>
        <v>100</v>
      </c>
      <c r="H2931" s="114">
        <v>100</v>
      </c>
      <c r="I2931" s="111"/>
    </row>
    <row r="2932" spans="3:9" s="57" customFormat="1" ht="16.5" hidden="1" customHeight="1" x14ac:dyDescent="0.25">
      <c r="C2932" s="109"/>
      <c r="D2932" s="217" t="s">
        <v>2191</v>
      </c>
      <c r="E2932" s="120">
        <f>SUM(E2933:E2933)</f>
        <v>837505000</v>
      </c>
      <c r="F2932" s="113">
        <f>SUM(F2933:F2933)</f>
        <v>837505000</v>
      </c>
      <c r="G2932" s="114">
        <f>+F2932/E2932*100</f>
        <v>100</v>
      </c>
      <c r="H2932" s="114">
        <v>100</v>
      </c>
      <c r="I2932" s="111"/>
    </row>
    <row r="2933" spans="3:9" ht="16.5" hidden="1" customHeight="1" x14ac:dyDescent="0.25">
      <c r="C2933" s="109"/>
      <c r="D2933" s="119" t="s">
        <v>2285</v>
      </c>
      <c r="E2933" s="107">
        <v>837505000</v>
      </c>
      <c r="F2933" s="108">
        <f>541120000+295880000+505000</f>
        <v>837505000</v>
      </c>
      <c r="G2933" s="114">
        <f>+F2933/E2933*100</f>
        <v>100</v>
      </c>
      <c r="H2933" s="114">
        <v>100</v>
      </c>
      <c r="I2933" s="111"/>
    </row>
    <row r="2934" spans="3:9" ht="16.5" hidden="1" customHeight="1" x14ac:dyDescent="0.25">
      <c r="C2934" s="109"/>
      <c r="D2934" s="119"/>
      <c r="E2934" s="107"/>
      <c r="F2934" s="108"/>
      <c r="G2934" s="114"/>
      <c r="H2934" s="114"/>
      <c r="I2934" s="111"/>
    </row>
    <row r="2935" spans="3:9" s="115" customFormat="1" ht="16.5" hidden="1" customHeight="1" x14ac:dyDescent="0.25">
      <c r="C2935" s="159"/>
      <c r="D2935" s="217" t="s">
        <v>2286</v>
      </c>
      <c r="E2935" s="120">
        <f>E2936+E2938</f>
        <v>6000000000</v>
      </c>
      <c r="F2935" s="113">
        <f>F2936+F2938</f>
        <v>4747900000</v>
      </c>
      <c r="G2935" s="114">
        <f>+F2935/E2935*100</f>
        <v>79.131666666666661</v>
      </c>
      <c r="H2935" s="114">
        <f>(H2936+H2938)/2</f>
        <v>52.5</v>
      </c>
      <c r="I2935" s="121"/>
    </row>
    <row r="2936" spans="3:9" ht="16.5" hidden="1" customHeight="1" x14ac:dyDescent="0.25">
      <c r="C2936" s="109"/>
      <c r="D2936" s="217" t="s">
        <v>2287</v>
      </c>
      <c r="E2936" s="120">
        <f>E2937</f>
        <v>2000000000</v>
      </c>
      <c r="F2936" s="113">
        <f>F2937</f>
        <v>1963900000</v>
      </c>
      <c r="G2936" s="114">
        <f>+F2936/E2936*100</f>
        <v>98.194999999999993</v>
      </c>
      <c r="H2936" s="114">
        <v>65</v>
      </c>
      <c r="I2936" s="111"/>
    </row>
    <row r="2937" spans="3:9" ht="30.75" hidden="1" customHeight="1" x14ac:dyDescent="0.25">
      <c r="C2937" s="109"/>
      <c r="D2937" s="119" t="s">
        <v>2288</v>
      </c>
      <c r="E2937" s="107">
        <v>2000000000</v>
      </c>
      <c r="F2937" s="108">
        <v>1963900000</v>
      </c>
      <c r="G2937" s="114">
        <f>+F2937/E2937*100</f>
        <v>98.194999999999993</v>
      </c>
      <c r="H2937" s="114">
        <v>65</v>
      </c>
      <c r="I2937" s="111"/>
    </row>
    <row r="2938" spans="3:9" ht="16.5" hidden="1" customHeight="1" x14ac:dyDescent="0.25">
      <c r="C2938" s="109"/>
      <c r="D2938" s="217" t="s">
        <v>2289</v>
      </c>
      <c r="E2938" s="120">
        <f>E2939</f>
        <v>4000000000</v>
      </c>
      <c r="F2938" s="113">
        <f>F2939</f>
        <v>2784000000</v>
      </c>
      <c r="G2938" s="114">
        <f>+F2938/E2938*100</f>
        <v>69.599999999999994</v>
      </c>
      <c r="H2938" s="114">
        <f>H2939</f>
        <v>40</v>
      </c>
      <c r="I2938" s="111"/>
    </row>
    <row r="2939" spans="3:9" ht="16.5" hidden="1" customHeight="1" x14ac:dyDescent="0.25">
      <c r="C2939" s="109"/>
      <c r="D2939" s="119" t="s">
        <v>2290</v>
      </c>
      <c r="E2939" s="107">
        <v>4000000000</v>
      </c>
      <c r="F2939" s="108">
        <v>2784000000</v>
      </c>
      <c r="G2939" s="114">
        <f>+F2939/E2939*100</f>
        <v>69.599999999999994</v>
      </c>
      <c r="H2939" s="114">
        <v>40</v>
      </c>
      <c r="I2939" s="111"/>
    </row>
    <row r="2940" spans="3:9" ht="16.5" hidden="1" customHeight="1" x14ac:dyDescent="0.25">
      <c r="C2940" s="109"/>
      <c r="D2940" s="119"/>
      <c r="E2940" s="107"/>
      <c r="F2940" s="108"/>
      <c r="G2940" s="114"/>
      <c r="H2940" s="114"/>
      <c r="I2940" s="111"/>
    </row>
    <row r="2941" spans="3:9" s="115" customFormat="1" ht="16.5" hidden="1" customHeight="1" x14ac:dyDescent="0.25">
      <c r="C2941" s="159"/>
      <c r="D2941" s="217" t="s">
        <v>2291</v>
      </c>
      <c r="E2941" s="120">
        <f>E2942</f>
        <v>11350691766</v>
      </c>
      <c r="F2941" s="113">
        <f>F2942</f>
        <v>10650717500</v>
      </c>
      <c r="G2941" s="114">
        <f>+F2941/E2941*100</f>
        <v>93.833201707611238</v>
      </c>
      <c r="H2941" s="114">
        <f>H2942</f>
        <v>40</v>
      </c>
      <c r="I2941" s="121"/>
    </row>
    <row r="2942" spans="3:9" ht="16.5" hidden="1" customHeight="1" x14ac:dyDescent="0.25">
      <c r="C2942" s="109"/>
      <c r="D2942" s="217" t="s">
        <v>2292</v>
      </c>
      <c r="E2942" s="120">
        <f>E2943</f>
        <v>11350691766</v>
      </c>
      <c r="F2942" s="113">
        <f>F2943</f>
        <v>10650717500</v>
      </c>
      <c r="G2942" s="114">
        <f>+F2942/E2942*100</f>
        <v>93.833201707611238</v>
      </c>
      <c r="H2942" s="114">
        <f>H2943</f>
        <v>40</v>
      </c>
      <c r="I2942" s="111"/>
    </row>
    <row r="2943" spans="3:9" ht="16.5" hidden="1" customHeight="1" x14ac:dyDescent="0.25">
      <c r="C2943" s="109"/>
      <c r="D2943" s="119" t="s">
        <v>2293</v>
      </c>
      <c r="E2943" s="107">
        <v>11350691766</v>
      </c>
      <c r="F2943" s="108">
        <v>10650717500</v>
      </c>
      <c r="G2943" s="114">
        <f>+F2943/E2943*100</f>
        <v>93.833201707611238</v>
      </c>
      <c r="H2943" s="114">
        <v>40</v>
      </c>
      <c r="I2943" s="111"/>
    </row>
    <row r="2944" spans="3:9" ht="16.5" hidden="1" customHeight="1" x14ac:dyDescent="0.25">
      <c r="C2944" s="109"/>
      <c r="D2944" s="119"/>
      <c r="E2944" s="107"/>
      <c r="F2944" s="108"/>
      <c r="G2944" s="114"/>
      <c r="H2944" s="114"/>
      <c r="I2944" s="111"/>
    </row>
    <row r="2945" spans="3:9" s="115" customFormat="1" ht="16.5" hidden="1" customHeight="1" x14ac:dyDescent="0.25">
      <c r="C2945" s="159"/>
      <c r="D2945" s="217" t="s">
        <v>2294</v>
      </c>
      <c r="E2945" s="120">
        <f>E2946</f>
        <v>1500000000</v>
      </c>
      <c r="F2945" s="113">
        <f>F2946</f>
        <v>1287096915</v>
      </c>
      <c r="G2945" s="114">
        <f>+F2945/E2945*100</f>
        <v>85.806460999999999</v>
      </c>
      <c r="H2945" s="114">
        <f>H2946</f>
        <v>60</v>
      </c>
      <c r="I2945" s="121"/>
    </row>
    <row r="2946" spans="3:9" ht="16.5" hidden="1" customHeight="1" x14ac:dyDescent="0.25">
      <c r="C2946" s="109"/>
      <c r="D2946" s="217" t="s">
        <v>2253</v>
      </c>
      <c r="E2946" s="120">
        <f>E2947</f>
        <v>1500000000</v>
      </c>
      <c r="F2946" s="113">
        <f>F2947</f>
        <v>1287096915</v>
      </c>
      <c r="G2946" s="114">
        <f>+F2946/E2946*100</f>
        <v>85.806460999999999</v>
      </c>
      <c r="H2946" s="114">
        <f>H2947</f>
        <v>60</v>
      </c>
      <c r="I2946" s="111"/>
    </row>
    <row r="2947" spans="3:9" ht="35.25" hidden="1" customHeight="1" x14ac:dyDescent="0.25">
      <c r="C2947" s="109"/>
      <c r="D2947" s="119" t="s">
        <v>2295</v>
      </c>
      <c r="E2947" s="107">
        <v>1500000000</v>
      </c>
      <c r="F2947" s="108">
        <v>1287096915</v>
      </c>
      <c r="G2947" s="114">
        <f>+F2947/E2947*100</f>
        <v>85.806460999999999</v>
      </c>
      <c r="H2947" s="114">
        <v>60</v>
      </c>
      <c r="I2947" s="111"/>
    </row>
    <row r="2948" spans="3:9" ht="16.5" hidden="1" customHeight="1" x14ac:dyDescent="0.25">
      <c r="C2948" s="109"/>
      <c r="D2948" s="119"/>
      <c r="E2948" s="107"/>
      <c r="F2948" s="108"/>
      <c r="G2948" s="114"/>
      <c r="H2948" s="114"/>
      <c r="I2948" s="111"/>
    </row>
    <row r="2949" spans="3:9" s="115" customFormat="1" ht="16.5" hidden="1" customHeight="1" x14ac:dyDescent="0.25">
      <c r="C2949" s="159"/>
      <c r="D2949" s="48" t="s">
        <v>2296</v>
      </c>
      <c r="E2949" s="120">
        <f>E2950</f>
        <v>3786537634</v>
      </c>
      <c r="F2949" s="113">
        <v>0</v>
      </c>
      <c r="G2949" s="114">
        <f>+F2949/E2949*100</f>
        <v>0</v>
      </c>
      <c r="H2949" s="114"/>
      <c r="I2949" s="121"/>
    </row>
    <row r="2950" spans="3:9" ht="16.5" hidden="1" customHeight="1" x14ac:dyDescent="0.25">
      <c r="C2950" s="109"/>
      <c r="D2950" s="272" t="s">
        <v>1934</v>
      </c>
      <c r="E2950" s="120">
        <v>3786537634</v>
      </c>
      <c r="F2950" s="113">
        <v>0</v>
      </c>
      <c r="G2950" s="114">
        <f>+F2950/E2950*100</f>
        <v>0</v>
      </c>
      <c r="H2950" s="114"/>
      <c r="I2950" s="111"/>
    </row>
    <row r="2951" spans="3:9" ht="16.5" hidden="1" customHeight="1" x14ac:dyDescent="0.25">
      <c r="C2951" s="109"/>
      <c r="D2951" s="273" t="s">
        <v>2297</v>
      </c>
      <c r="E2951" s="107">
        <v>3786537634</v>
      </c>
      <c r="F2951" s="108">
        <v>0</v>
      </c>
      <c r="G2951" s="114">
        <f>+F2951/E2951*100</f>
        <v>0</v>
      </c>
      <c r="H2951" s="114"/>
      <c r="I2951" s="111"/>
    </row>
    <row r="2952" spans="3:9" ht="16.5" hidden="1" customHeight="1" x14ac:dyDescent="0.25">
      <c r="C2952" s="109"/>
      <c r="D2952" s="119"/>
      <c r="E2952" s="107"/>
      <c r="F2952" s="108"/>
      <c r="G2952" s="114"/>
      <c r="H2952" s="114"/>
      <c r="I2952" s="111"/>
    </row>
    <row r="2953" spans="3:9" s="115" customFormat="1" ht="16.5" hidden="1" customHeight="1" x14ac:dyDescent="0.25">
      <c r="C2953" s="159"/>
      <c r="D2953" s="48" t="s">
        <v>2298</v>
      </c>
      <c r="E2953" s="120">
        <f>E2954+E2956+E2962</f>
        <v>2341165170.0100002</v>
      </c>
      <c r="F2953" s="113">
        <f>F2954+F2956+F2962</f>
        <v>2121949022</v>
      </c>
      <c r="G2953" s="114">
        <f t="shared" ref="G2953:G2966" si="179">+F2953/E2953*100</f>
        <v>90.636450993798789</v>
      </c>
      <c r="H2953" s="114">
        <f>(H2954+H2956+H2962)/3</f>
        <v>27.5</v>
      </c>
      <c r="I2953" s="121"/>
    </row>
    <row r="2954" spans="3:9" ht="16.5" hidden="1" customHeight="1" x14ac:dyDescent="0.25">
      <c r="C2954" s="109"/>
      <c r="D2954" s="217" t="s">
        <v>1944</v>
      </c>
      <c r="E2954" s="120">
        <f>E2955</f>
        <v>106664000</v>
      </c>
      <c r="F2954" s="113">
        <f>F2955</f>
        <v>95147750</v>
      </c>
      <c r="G2954" s="114">
        <f t="shared" si="179"/>
        <v>89.203245706142653</v>
      </c>
      <c r="H2954" s="114"/>
      <c r="I2954" s="111"/>
    </row>
    <row r="2955" spans="3:9" ht="16.5" hidden="1" customHeight="1" x14ac:dyDescent="0.25">
      <c r="C2955" s="109"/>
      <c r="D2955" s="119" t="s">
        <v>2299</v>
      </c>
      <c r="E2955" s="107">
        <v>106664000</v>
      </c>
      <c r="F2955" s="108">
        <v>95147750</v>
      </c>
      <c r="G2955" s="114">
        <f t="shared" si="179"/>
        <v>89.203245706142653</v>
      </c>
      <c r="H2955" s="114"/>
      <c r="I2955" s="111"/>
    </row>
    <row r="2956" spans="3:9" ht="16.5" hidden="1" customHeight="1" x14ac:dyDescent="0.25">
      <c r="C2956" s="109"/>
      <c r="D2956" s="217" t="s">
        <v>2300</v>
      </c>
      <c r="E2956" s="120">
        <f>SUM(E2957:E2961)</f>
        <v>526832171.54999995</v>
      </c>
      <c r="F2956" s="113">
        <f>SUM(F2957:F2961)</f>
        <v>387582767</v>
      </c>
      <c r="G2956" s="114">
        <f t="shared" si="179"/>
        <v>73.568545721057149</v>
      </c>
      <c r="H2956" s="114">
        <f>SUM(H2957:H2961)/5</f>
        <v>60</v>
      </c>
      <c r="I2956" s="111"/>
    </row>
    <row r="2957" spans="3:9" ht="16.5" hidden="1" customHeight="1" x14ac:dyDescent="0.25">
      <c r="C2957" s="109"/>
      <c r="D2957" s="119" t="s">
        <v>2301</v>
      </c>
      <c r="E2957" s="107">
        <v>133858127.51000001</v>
      </c>
      <c r="F2957" s="108">
        <v>111234127</v>
      </c>
      <c r="G2957" s="114">
        <f t="shared" si="179"/>
        <v>83.098523092436167</v>
      </c>
      <c r="H2957" s="114">
        <v>100</v>
      </c>
      <c r="I2957" s="111"/>
    </row>
    <row r="2958" spans="3:9" ht="16.5" hidden="1" customHeight="1" x14ac:dyDescent="0.25">
      <c r="C2958" s="109"/>
      <c r="D2958" s="119" t="s">
        <v>2302</v>
      </c>
      <c r="E2958" s="107">
        <v>91607508.379999995</v>
      </c>
      <c r="F2958" s="108">
        <v>91157000</v>
      </c>
      <c r="G2958" s="114">
        <f t="shared" si="179"/>
        <v>99.508218935361469</v>
      </c>
      <c r="H2958" s="114">
        <v>100</v>
      </c>
      <c r="I2958" s="111"/>
    </row>
    <row r="2959" spans="3:9" ht="16.5" hidden="1" customHeight="1" x14ac:dyDescent="0.25">
      <c r="C2959" s="109"/>
      <c r="D2959" s="119" t="s">
        <v>2303</v>
      </c>
      <c r="E2959" s="107">
        <v>65204640.140000001</v>
      </c>
      <c r="F2959" s="108">
        <v>64004640</v>
      </c>
      <c r="G2959" s="114">
        <f t="shared" si="179"/>
        <v>98.159639962089358</v>
      </c>
      <c r="H2959" s="114">
        <v>100</v>
      </c>
      <c r="I2959" s="111"/>
    </row>
    <row r="2960" spans="3:9" ht="16.5" hidden="1" customHeight="1" x14ac:dyDescent="0.25">
      <c r="C2960" s="109"/>
      <c r="D2960" s="119" t="s">
        <v>2304</v>
      </c>
      <c r="E2960" s="107">
        <v>112866895.52</v>
      </c>
      <c r="F2960" s="108">
        <v>95492000</v>
      </c>
      <c r="G2960" s="114">
        <f t="shared" si="179"/>
        <v>84.605853257546926</v>
      </c>
      <c r="H2960" s="114"/>
      <c r="I2960" s="111"/>
    </row>
    <row r="2961" spans="3:9" ht="18.75" hidden="1" customHeight="1" x14ac:dyDescent="0.25">
      <c r="C2961" s="109"/>
      <c r="D2961" s="119" t="s">
        <v>2305</v>
      </c>
      <c r="E2961" s="107">
        <v>123295000</v>
      </c>
      <c r="F2961" s="108">
        <v>25695000</v>
      </c>
      <c r="G2961" s="114">
        <f t="shared" si="179"/>
        <v>20.840261162253132</v>
      </c>
      <c r="H2961" s="114"/>
      <c r="I2961" s="111"/>
    </row>
    <row r="2962" spans="3:9" ht="18.75" hidden="1" customHeight="1" x14ac:dyDescent="0.25">
      <c r="C2962" s="109"/>
      <c r="D2962" s="217" t="s">
        <v>2306</v>
      </c>
      <c r="E2962" s="120">
        <f>SUM(E2963:E2966)</f>
        <v>1707668998.46</v>
      </c>
      <c r="F2962" s="113">
        <f>SUM(F2963:F2966)</f>
        <v>1639218505</v>
      </c>
      <c r="G2962" s="114">
        <f t="shared" si="179"/>
        <v>95.991583057271072</v>
      </c>
      <c r="H2962" s="114">
        <f>SUM(H2963:H2966)/4</f>
        <v>22.5</v>
      </c>
      <c r="I2962" s="111"/>
    </row>
    <row r="2963" spans="3:9" ht="18.75" hidden="1" customHeight="1" x14ac:dyDescent="0.25">
      <c r="C2963" s="109"/>
      <c r="D2963" s="119" t="s">
        <v>2307</v>
      </c>
      <c r="E2963" s="107">
        <v>650935569.63</v>
      </c>
      <c r="F2963" s="108">
        <v>634496455</v>
      </c>
      <c r="G2963" s="114">
        <f t="shared" si="179"/>
        <v>97.474540431191343</v>
      </c>
      <c r="H2963" s="114"/>
      <c r="I2963" s="111"/>
    </row>
    <row r="2964" spans="3:9" ht="18.75" hidden="1" customHeight="1" x14ac:dyDescent="0.25">
      <c r="C2964" s="109"/>
      <c r="D2964" s="119" t="s">
        <v>2308</v>
      </c>
      <c r="E2964" s="107">
        <v>499853073.56</v>
      </c>
      <c r="F2964" s="108">
        <v>479630250</v>
      </c>
      <c r="G2964" s="114">
        <f t="shared" si="179"/>
        <v>95.95424643166217</v>
      </c>
      <c r="H2964" s="114">
        <v>90</v>
      </c>
      <c r="I2964" s="111"/>
    </row>
    <row r="2965" spans="3:9" ht="18.75" hidden="1" customHeight="1" x14ac:dyDescent="0.25">
      <c r="C2965" s="109"/>
      <c r="D2965" s="119" t="s">
        <v>2309</v>
      </c>
      <c r="E2965" s="107">
        <v>506880355.26999998</v>
      </c>
      <c r="F2965" s="108">
        <v>475591800</v>
      </c>
      <c r="G2965" s="114">
        <f t="shared" si="179"/>
        <v>93.82723063841496</v>
      </c>
      <c r="H2965" s="114"/>
      <c r="I2965" s="111"/>
    </row>
    <row r="2966" spans="3:9" ht="18.75" hidden="1" customHeight="1" x14ac:dyDescent="0.25">
      <c r="C2966" s="109"/>
      <c r="D2966" s="119" t="s">
        <v>2310</v>
      </c>
      <c r="E2966" s="107">
        <v>50000000</v>
      </c>
      <c r="F2966" s="108">
        <v>49500000</v>
      </c>
      <c r="G2966" s="114">
        <f t="shared" si="179"/>
        <v>99</v>
      </c>
      <c r="H2966" s="114"/>
      <c r="I2966" s="111"/>
    </row>
    <row r="2967" spans="3:9" ht="16.5" hidden="1" customHeight="1" x14ac:dyDescent="0.25">
      <c r="C2967" s="109"/>
      <c r="D2967" s="119"/>
      <c r="E2967" s="107"/>
      <c r="F2967" s="108"/>
      <c r="G2967" s="114"/>
      <c r="H2967" s="114"/>
      <c r="I2967" s="111"/>
    </row>
    <row r="2968" spans="3:9" ht="16.5" hidden="1" customHeight="1" x14ac:dyDescent="0.25">
      <c r="C2968" s="109"/>
      <c r="D2968" s="48" t="s">
        <v>2311</v>
      </c>
      <c r="E2968" s="120">
        <f>E2969</f>
        <v>4000000000</v>
      </c>
      <c r="F2968" s="113">
        <f>F2969</f>
        <v>3674295000</v>
      </c>
      <c r="G2968" s="114">
        <f>+F2968/E2968*100</f>
        <v>91.85737499999999</v>
      </c>
      <c r="H2968" s="114">
        <f>H2969</f>
        <v>35</v>
      </c>
      <c r="I2968" s="111"/>
    </row>
    <row r="2969" spans="3:9" ht="16.5" hidden="1" customHeight="1" x14ac:dyDescent="0.25">
      <c r="C2969" s="109"/>
      <c r="D2969" s="217" t="s">
        <v>1957</v>
      </c>
      <c r="E2969" s="120">
        <f>E2970</f>
        <v>4000000000</v>
      </c>
      <c r="F2969" s="113">
        <f>F2970</f>
        <v>3674295000</v>
      </c>
      <c r="G2969" s="114">
        <f>+F2969/E2969*100</f>
        <v>91.85737499999999</v>
      </c>
      <c r="H2969" s="114">
        <f>H2970</f>
        <v>35</v>
      </c>
      <c r="I2969" s="111"/>
    </row>
    <row r="2970" spans="3:9" ht="16.5" hidden="1" customHeight="1" x14ac:dyDescent="0.25">
      <c r="C2970" s="109"/>
      <c r="D2970" s="119" t="s">
        <v>2312</v>
      </c>
      <c r="E2970" s="107">
        <v>4000000000</v>
      </c>
      <c r="F2970" s="108">
        <v>3674295000</v>
      </c>
      <c r="G2970" s="114">
        <f>+F2970/E2970*100</f>
        <v>91.85737499999999</v>
      </c>
      <c r="H2970" s="114">
        <v>35</v>
      </c>
      <c r="I2970" s="111"/>
    </row>
    <row r="2971" spans="3:9" ht="16.5" hidden="1" customHeight="1" x14ac:dyDescent="0.25">
      <c r="C2971" s="109"/>
      <c r="D2971" s="119"/>
      <c r="E2971" s="107"/>
      <c r="F2971" s="108"/>
      <c r="G2971" s="114"/>
      <c r="H2971" s="114"/>
      <c r="I2971" s="111"/>
    </row>
    <row r="2972" spans="3:9" ht="16.5" hidden="1" customHeight="1" x14ac:dyDescent="0.25">
      <c r="C2972" s="109"/>
      <c r="D2972" s="48" t="s">
        <v>2313</v>
      </c>
      <c r="E2972" s="120">
        <f>E2973</f>
        <v>6640546040</v>
      </c>
      <c r="F2972" s="113">
        <f>F2973</f>
        <v>6607532114</v>
      </c>
      <c r="G2972" s="114">
        <f>+F2972/E2972*100</f>
        <v>99.502843202936361</v>
      </c>
      <c r="H2972" s="114">
        <f>H2973</f>
        <v>100</v>
      </c>
      <c r="I2972" s="111"/>
    </row>
    <row r="2973" spans="3:9" ht="16.5" hidden="1" customHeight="1" x14ac:dyDescent="0.25">
      <c r="C2973" s="109"/>
      <c r="D2973" s="217" t="s">
        <v>580</v>
      </c>
      <c r="E2973" s="120">
        <v>6640546040</v>
      </c>
      <c r="F2973" s="113">
        <f>F2974</f>
        <v>6607532114</v>
      </c>
      <c r="G2973" s="114">
        <f>+F2973/E2973*100</f>
        <v>99.502843202936361</v>
      </c>
      <c r="H2973" s="114">
        <v>100</v>
      </c>
      <c r="I2973" s="111"/>
    </row>
    <row r="2974" spans="3:9" ht="16.5" hidden="1" customHeight="1" x14ac:dyDescent="0.25">
      <c r="C2974" s="109"/>
      <c r="D2974" s="119" t="s">
        <v>2314</v>
      </c>
      <c r="E2974" s="120">
        <v>6640546040</v>
      </c>
      <c r="F2974" s="113">
        <v>6607532114</v>
      </c>
      <c r="G2974" s="114">
        <f>+F2974/E2974*100</f>
        <v>99.502843202936361</v>
      </c>
      <c r="H2974" s="114">
        <v>100</v>
      </c>
      <c r="I2974" s="111"/>
    </row>
    <row r="2975" spans="3:9" ht="16.5" hidden="1" customHeight="1" x14ac:dyDescent="0.25">
      <c r="C2975" s="109"/>
      <c r="D2975" s="119"/>
      <c r="E2975" s="107"/>
      <c r="F2975" s="108"/>
      <c r="G2975" s="114"/>
      <c r="H2975" s="114"/>
      <c r="I2975" s="111"/>
    </row>
    <row r="2976" spans="3:9" ht="16.5" hidden="1" customHeight="1" x14ac:dyDescent="0.25">
      <c r="C2976" s="109"/>
      <c r="D2976" s="48" t="s">
        <v>2315</v>
      </c>
      <c r="E2976" s="120">
        <f>E2977</f>
        <v>613722940</v>
      </c>
      <c r="F2976" s="113">
        <f>F2977</f>
        <v>612145782</v>
      </c>
      <c r="G2976" s="114">
        <f>+F2976/E2976*100</f>
        <v>99.743017916195214</v>
      </c>
      <c r="H2976" s="114">
        <f>H2977</f>
        <v>100</v>
      </c>
      <c r="I2976" s="111"/>
    </row>
    <row r="2977" spans="3:9" ht="30.75" hidden="1" customHeight="1" x14ac:dyDescent="0.25">
      <c r="C2977" s="109"/>
      <c r="D2977" s="217" t="s">
        <v>2316</v>
      </c>
      <c r="E2977" s="120">
        <f>E2978</f>
        <v>613722940</v>
      </c>
      <c r="F2977" s="113">
        <f>F2978</f>
        <v>612145782</v>
      </c>
      <c r="G2977" s="114">
        <f>+F2977/E2977*100</f>
        <v>99.743017916195214</v>
      </c>
      <c r="H2977" s="114">
        <v>100</v>
      </c>
      <c r="I2977" s="111"/>
    </row>
    <row r="2978" spans="3:9" ht="16.5" hidden="1" customHeight="1" x14ac:dyDescent="0.25">
      <c r="C2978" s="109"/>
      <c r="D2978" s="119" t="s">
        <v>2317</v>
      </c>
      <c r="E2978" s="107">
        <v>613722940</v>
      </c>
      <c r="F2978" s="108">
        <v>612145782</v>
      </c>
      <c r="G2978" s="114">
        <f>+F2978/E2978*100</f>
        <v>99.743017916195214</v>
      </c>
      <c r="H2978" s="114">
        <v>100</v>
      </c>
      <c r="I2978" s="111"/>
    </row>
    <row r="2979" spans="3:9" ht="16.5" hidden="1" customHeight="1" x14ac:dyDescent="0.25">
      <c r="C2979" s="109"/>
      <c r="D2979" s="119"/>
      <c r="E2979" s="107"/>
      <c r="F2979" s="108"/>
      <c r="G2979" s="114"/>
      <c r="H2979" s="114"/>
      <c r="I2979" s="111"/>
    </row>
    <row r="2980" spans="3:9" ht="16.5" hidden="1" customHeight="1" x14ac:dyDescent="0.25">
      <c r="C2980" s="109"/>
      <c r="D2980" s="48" t="s">
        <v>2318</v>
      </c>
      <c r="E2980" s="120">
        <f>E2981+E2989+E2999+E3001+E3007+E3011+E3013</f>
        <v>11821452892.009998</v>
      </c>
      <c r="F2980" s="113">
        <f>F2981+F2989+F2999+F3001+F3007+F3011+F3013</f>
        <v>11625248685</v>
      </c>
      <c r="G2980" s="114">
        <f t="shared" ref="G2980:G3016" si="180">+F2980/E2980*100</f>
        <v>98.340269941416338</v>
      </c>
      <c r="H2980" s="114">
        <f>(H2981+H2989+H2999+H3001+H3007+H3011+H3013)/7</f>
        <v>73.766353750078366</v>
      </c>
      <c r="I2980" s="111"/>
    </row>
    <row r="2981" spans="3:9" ht="16.5" hidden="1" customHeight="1" x14ac:dyDescent="0.25">
      <c r="C2981" s="109"/>
      <c r="D2981" s="217" t="s">
        <v>2319</v>
      </c>
      <c r="E2981" s="120">
        <f>SUM(E2982:E2988)</f>
        <v>2226649858.8099999</v>
      </c>
      <c r="F2981" s="113">
        <f>SUM(F2982:F2988)</f>
        <v>2215133890</v>
      </c>
      <c r="G2981" s="114">
        <f t="shared" si="180"/>
        <v>99.482811868043115</v>
      </c>
      <c r="H2981" s="114">
        <f>SUM(H2982:H2988)/7</f>
        <v>42.857142857142854</v>
      </c>
      <c r="I2981" s="111"/>
    </row>
    <row r="2982" spans="3:9" ht="16.5" hidden="1" customHeight="1" x14ac:dyDescent="0.25">
      <c r="C2982" s="109"/>
      <c r="D2982" s="119" t="s">
        <v>2320</v>
      </c>
      <c r="E2982" s="107">
        <v>244996913.84</v>
      </c>
      <c r="F2982" s="108">
        <v>244477650</v>
      </c>
      <c r="G2982" s="114">
        <f t="shared" si="180"/>
        <v>99.788052905703495</v>
      </c>
      <c r="H2982" s="114"/>
      <c r="I2982" s="111"/>
    </row>
    <row r="2983" spans="3:9" ht="16.5" hidden="1" customHeight="1" x14ac:dyDescent="0.25">
      <c r="C2983" s="109"/>
      <c r="D2983" s="119" t="s">
        <v>2321</v>
      </c>
      <c r="E2983" s="107">
        <v>226915354</v>
      </c>
      <c r="F2983" s="108">
        <v>226684640</v>
      </c>
      <c r="G2983" s="114">
        <f t="shared" si="180"/>
        <v>99.898325963433919</v>
      </c>
      <c r="H2983" s="114">
        <v>100</v>
      </c>
      <c r="I2983" s="111"/>
    </row>
    <row r="2984" spans="3:9" ht="16.5" hidden="1" customHeight="1" x14ac:dyDescent="0.25">
      <c r="C2984" s="109"/>
      <c r="D2984" s="119" t="s">
        <v>2322</v>
      </c>
      <c r="E2984" s="107">
        <v>623784583.38</v>
      </c>
      <c r="F2984" s="108">
        <v>619003790</v>
      </c>
      <c r="G2984" s="114">
        <f t="shared" si="180"/>
        <v>99.233582632950771</v>
      </c>
      <c r="H2984" s="114">
        <v>100</v>
      </c>
      <c r="I2984" s="111"/>
    </row>
    <row r="2985" spans="3:9" ht="16.5" hidden="1" customHeight="1" x14ac:dyDescent="0.25">
      <c r="C2985" s="109"/>
      <c r="D2985" s="119" t="s">
        <v>2323</v>
      </c>
      <c r="E2985" s="107">
        <v>412051471.43000001</v>
      </c>
      <c r="F2985" s="108">
        <v>408859700</v>
      </c>
      <c r="G2985" s="114">
        <f t="shared" si="180"/>
        <v>99.225394968516156</v>
      </c>
      <c r="H2985" s="114"/>
      <c r="I2985" s="111"/>
    </row>
    <row r="2986" spans="3:9" ht="16.5" hidden="1" customHeight="1" x14ac:dyDescent="0.25">
      <c r="C2986" s="109"/>
      <c r="D2986" s="119" t="s">
        <v>2324</v>
      </c>
      <c r="E2986" s="107">
        <v>263994560.03999999</v>
      </c>
      <c r="F2986" s="108">
        <v>262116715</v>
      </c>
      <c r="G2986" s="114">
        <f t="shared" si="180"/>
        <v>99.288680403219118</v>
      </c>
      <c r="H2986" s="114">
        <v>100</v>
      </c>
      <c r="I2986" s="111"/>
    </row>
    <row r="2987" spans="3:9" ht="16.5" hidden="1" customHeight="1" x14ac:dyDescent="0.25">
      <c r="C2987" s="109"/>
      <c r="D2987" s="119" t="s">
        <v>2325</v>
      </c>
      <c r="E2987" s="107">
        <v>209996416.24000001</v>
      </c>
      <c r="F2987" s="108">
        <v>209427495</v>
      </c>
      <c r="G2987" s="114">
        <f t="shared" si="180"/>
        <v>99.729080500426349</v>
      </c>
      <c r="H2987" s="114"/>
      <c r="I2987" s="111"/>
    </row>
    <row r="2988" spans="3:9" ht="16.5" hidden="1" customHeight="1" x14ac:dyDescent="0.25">
      <c r="C2988" s="109"/>
      <c r="D2988" s="119" t="s">
        <v>2326</v>
      </c>
      <c r="E2988" s="107">
        <v>244910559.88</v>
      </c>
      <c r="F2988" s="108">
        <v>244563900</v>
      </c>
      <c r="G2988" s="114">
        <f t="shared" si="180"/>
        <v>99.858454498585175</v>
      </c>
      <c r="H2988" s="114"/>
      <c r="I2988" s="111"/>
    </row>
    <row r="2989" spans="3:9" ht="16.5" hidden="1" customHeight="1" x14ac:dyDescent="0.25">
      <c r="C2989" s="109"/>
      <c r="D2989" s="217" t="s">
        <v>2234</v>
      </c>
      <c r="E2989" s="120">
        <f>SUM(E2990:E2998)</f>
        <v>5291938219.6700001</v>
      </c>
      <c r="F2989" s="113">
        <f>SUM(F2990:F2998)</f>
        <v>5219048045</v>
      </c>
      <c r="G2989" s="114">
        <f t="shared" si="180"/>
        <v>98.622618563477005</v>
      </c>
      <c r="H2989" s="114">
        <f>SUM(H2990:H2998)/9</f>
        <v>87.316857202929555</v>
      </c>
      <c r="I2989" s="111"/>
    </row>
    <row r="2990" spans="3:9" ht="16.5" hidden="1" customHeight="1" x14ac:dyDescent="0.25">
      <c r="C2990" s="109"/>
      <c r="D2990" s="119" t="s">
        <v>2327</v>
      </c>
      <c r="E2990" s="107">
        <v>336660291.36000001</v>
      </c>
      <c r="F2990" s="108">
        <v>335946575</v>
      </c>
      <c r="G2990" s="114">
        <f t="shared" si="180"/>
        <v>99.788001027054065</v>
      </c>
      <c r="H2990" s="114">
        <v>85.851714826365964</v>
      </c>
      <c r="I2990" s="111"/>
    </row>
    <row r="2991" spans="3:9" ht="18" hidden="1" customHeight="1" x14ac:dyDescent="0.25">
      <c r="C2991" s="109"/>
      <c r="D2991" s="119" t="s">
        <v>2328</v>
      </c>
      <c r="E2991" s="107">
        <v>1092000000</v>
      </c>
      <c r="F2991" s="108">
        <v>1031800000</v>
      </c>
      <c r="G2991" s="114">
        <f t="shared" si="180"/>
        <v>94.487179487179489</v>
      </c>
      <c r="H2991" s="114"/>
      <c r="I2991" s="111"/>
    </row>
    <row r="2992" spans="3:9" ht="16.5" hidden="1" customHeight="1" x14ac:dyDescent="0.25">
      <c r="C2992" s="109"/>
      <c r="D2992" s="119" t="s">
        <v>2329</v>
      </c>
      <c r="E2992" s="107">
        <v>195828549.30000001</v>
      </c>
      <c r="F2992" s="108">
        <v>194973785</v>
      </c>
      <c r="G2992" s="114">
        <f t="shared" si="180"/>
        <v>99.563513949801802</v>
      </c>
      <c r="H2992" s="114">
        <v>100</v>
      </c>
      <c r="I2992" s="111"/>
    </row>
    <row r="2993" spans="3:9" ht="16.5" hidden="1" customHeight="1" x14ac:dyDescent="0.25">
      <c r="C2993" s="109"/>
      <c r="D2993" s="119" t="s">
        <v>2330</v>
      </c>
      <c r="E2993" s="107">
        <v>229780000</v>
      </c>
      <c r="F2993" s="108">
        <v>229680000</v>
      </c>
      <c r="G2993" s="114">
        <f t="shared" si="180"/>
        <v>99.956480111410912</v>
      </c>
      <c r="H2993" s="114">
        <v>100</v>
      </c>
      <c r="I2993" s="111"/>
    </row>
    <row r="2994" spans="3:9" ht="16.5" hidden="1" customHeight="1" x14ac:dyDescent="0.25">
      <c r="C2994" s="109"/>
      <c r="D2994" s="119" t="s">
        <v>2331</v>
      </c>
      <c r="E2994" s="107">
        <v>599595461.30999994</v>
      </c>
      <c r="F2994" s="108">
        <v>598807800</v>
      </c>
      <c r="G2994" s="114">
        <f t="shared" si="180"/>
        <v>99.868634544317757</v>
      </c>
      <c r="H2994" s="114">
        <v>100</v>
      </c>
      <c r="I2994" s="111"/>
    </row>
    <row r="2995" spans="3:9" ht="16.5" hidden="1" customHeight="1" x14ac:dyDescent="0.25">
      <c r="C2995" s="109"/>
      <c r="D2995" s="119" t="s">
        <v>2332</v>
      </c>
      <c r="E2995" s="107">
        <v>1243512404.02</v>
      </c>
      <c r="F2995" s="108">
        <v>1243136460</v>
      </c>
      <c r="G2995" s="114">
        <f t="shared" si="180"/>
        <v>99.969767569765722</v>
      </c>
      <c r="H2995" s="114">
        <v>100</v>
      </c>
      <c r="I2995" s="111"/>
    </row>
    <row r="2996" spans="3:9" ht="16.5" hidden="1" customHeight="1" x14ac:dyDescent="0.25">
      <c r="C2996" s="109"/>
      <c r="D2996" s="119" t="s">
        <v>2333</v>
      </c>
      <c r="E2996" s="107">
        <v>215410000</v>
      </c>
      <c r="F2996" s="108">
        <v>215000000</v>
      </c>
      <c r="G2996" s="114">
        <f t="shared" si="180"/>
        <v>99.80966528944802</v>
      </c>
      <c r="H2996" s="114">
        <v>100</v>
      </c>
      <c r="I2996" s="111"/>
    </row>
    <row r="2997" spans="3:9" ht="16.5" hidden="1" customHeight="1" x14ac:dyDescent="0.25">
      <c r="C2997" s="109"/>
      <c r="D2997" s="119" t="s">
        <v>2334</v>
      </c>
      <c r="E2997" s="107">
        <v>1199457945.8</v>
      </c>
      <c r="F2997" s="108">
        <v>1190261375</v>
      </c>
      <c r="G2997" s="114">
        <f t="shared" si="180"/>
        <v>99.233272760232865</v>
      </c>
      <c r="H2997" s="114">
        <v>100</v>
      </c>
      <c r="I2997" s="111"/>
    </row>
    <row r="2998" spans="3:9" ht="16.5" hidden="1" customHeight="1" x14ac:dyDescent="0.25">
      <c r="C2998" s="109"/>
      <c r="D2998" s="119" t="s">
        <v>2335</v>
      </c>
      <c r="E2998" s="107">
        <v>179693567.88</v>
      </c>
      <c r="F2998" s="108">
        <v>179442050</v>
      </c>
      <c r="G2998" s="114">
        <f t="shared" si="180"/>
        <v>99.860029558671812</v>
      </c>
      <c r="H2998" s="114">
        <v>100</v>
      </c>
      <c r="I2998" s="111"/>
    </row>
    <row r="2999" spans="3:9" ht="16.5" hidden="1" customHeight="1" x14ac:dyDescent="0.25">
      <c r="C2999" s="109"/>
      <c r="D2999" s="217" t="s">
        <v>2336</v>
      </c>
      <c r="E2999" s="120">
        <f>E3000</f>
        <v>155645400</v>
      </c>
      <c r="F2999" s="113">
        <f>F3000</f>
        <v>155600000</v>
      </c>
      <c r="G2999" s="114">
        <f t="shared" si="180"/>
        <v>99.970831132818574</v>
      </c>
      <c r="H2999" s="114">
        <v>100</v>
      </c>
      <c r="I2999" s="111"/>
    </row>
    <row r="3000" spans="3:9" ht="30.75" hidden="1" customHeight="1" x14ac:dyDescent="0.25">
      <c r="C3000" s="109"/>
      <c r="D3000" s="119" t="s">
        <v>2337</v>
      </c>
      <c r="E3000" s="107">
        <v>155645400</v>
      </c>
      <c r="F3000" s="108">
        <v>155600000</v>
      </c>
      <c r="G3000" s="114">
        <f t="shared" si="180"/>
        <v>99.970831132818574</v>
      </c>
      <c r="H3000" s="114">
        <v>100</v>
      </c>
      <c r="I3000" s="111"/>
    </row>
    <row r="3001" spans="3:9" ht="16.5" hidden="1" customHeight="1" x14ac:dyDescent="0.25">
      <c r="C3001" s="109"/>
      <c r="D3001" s="217" t="s">
        <v>2338</v>
      </c>
      <c r="E3001" s="120">
        <f>SUM(E3002:E3006)</f>
        <v>1806642249.4100001</v>
      </c>
      <c r="F3001" s="113">
        <f>SUM(F3002:F3006)</f>
        <v>1701883100</v>
      </c>
      <c r="G3001" s="114">
        <f t="shared" si="180"/>
        <v>94.201444727410106</v>
      </c>
      <c r="H3001" s="114">
        <f>SUM(H3002:H3006)/7</f>
        <v>42.857142857142854</v>
      </c>
      <c r="I3001" s="111"/>
    </row>
    <row r="3002" spans="3:9" ht="16.5" hidden="1" customHeight="1" x14ac:dyDescent="0.25">
      <c r="C3002" s="109"/>
      <c r="D3002" s="119" t="s">
        <v>2339</v>
      </c>
      <c r="E3002" s="107">
        <v>1175217679.9100001</v>
      </c>
      <c r="F3002" s="108">
        <v>1075884825</v>
      </c>
      <c r="G3002" s="114">
        <f t="shared" si="180"/>
        <v>91.547705875424953</v>
      </c>
      <c r="H3002" s="114"/>
      <c r="I3002" s="111"/>
    </row>
    <row r="3003" spans="3:9" ht="16.5" hidden="1" customHeight="1" x14ac:dyDescent="0.25">
      <c r="C3003" s="109"/>
      <c r="D3003" s="119" t="s">
        <v>2340</v>
      </c>
      <c r="E3003" s="107">
        <v>174968651.21000001</v>
      </c>
      <c r="F3003" s="108">
        <v>171647620</v>
      </c>
      <c r="G3003" s="114">
        <f t="shared" si="180"/>
        <v>98.101927867058848</v>
      </c>
      <c r="H3003" s="114"/>
      <c r="I3003" s="111"/>
    </row>
    <row r="3004" spans="3:9" ht="16.5" hidden="1" customHeight="1" x14ac:dyDescent="0.25">
      <c r="C3004" s="109"/>
      <c r="D3004" s="119" t="s">
        <v>2341</v>
      </c>
      <c r="E3004" s="107">
        <v>107495599.13</v>
      </c>
      <c r="F3004" s="108">
        <v>105626965</v>
      </c>
      <c r="G3004" s="114">
        <f t="shared" si="180"/>
        <v>98.261664528479756</v>
      </c>
      <c r="H3004" s="114">
        <v>100</v>
      </c>
      <c r="I3004" s="111"/>
    </row>
    <row r="3005" spans="3:9" ht="30.75" hidden="1" customHeight="1" x14ac:dyDescent="0.25">
      <c r="C3005" s="109"/>
      <c r="D3005" s="119" t="s">
        <v>2342</v>
      </c>
      <c r="E3005" s="107">
        <v>164966997.68000001</v>
      </c>
      <c r="F3005" s="108">
        <v>164907975</v>
      </c>
      <c r="G3005" s="114">
        <f t="shared" si="180"/>
        <v>99.964221522589327</v>
      </c>
      <c r="H3005" s="114">
        <v>100</v>
      </c>
      <c r="I3005" s="111"/>
    </row>
    <row r="3006" spans="3:9" ht="16.5" hidden="1" customHeight="1" x14ac:dyDescent="0.25">
      <c r="C3006" s="109"/>
      <c r="D3006" s="119" t="s">
        <v>2343</v>
      </c>
      <c r="E3006" s="107">
        <v>183993321.47999999</v>
      </c>
      <c r="F3006" s="108">
        <v>183815715</v>
      </c>
      <c r="G3006" s="114">
        <f t="shared" si="180"/>
        <v>99.903471235493029</v>
      </c>
      <c r="H3006" s="114">
        <v>100</v>
      </c>
      <c r="I3006" s="111"/>
    </row>
    <row r="3007" spans="3:9" ht="16.5" hidden="1" customHeight="1" x14ac:dyDescent="0.25">
      <c r="C3007" s="109"/>
      <c r="D3007" s="217" t="s">
        <v>2344</v>
      </c>
      <c r="E3007" s="120">
        <f>SUM(E3008:E3010)</f>
        <v>719571361.24000001</v>
      </c>
      <c r="F3007" s="113">
        <f>SUM(F3008:F3010)</f>
        <v>718881675</v>
      </c>
      <c r="G3007" s="114">
        <f t="shared" si="180"/>
        <v>99.904153183804937</v>
      </c>
      <c r="H3007" s="114">
        <v>100</v>
      </c>
      <c r="I3007" s="111"/>
    </row>
    <row r="3008" spans="3:9" ht="16.5" hidden="1" customHeight="1" x14ac:dyDescent="0.25">
      <c r="C3008" s="109"/>
      <c r="D3008" s="119" t="s">
        <v>2345</v>
      </c>
      <c r="E3008" s="107">
        <v>229985246.36000001</v>
      </c>
      <c r="F3008" s="108">
        <v>229796330</v>
      </c>
      <c r="G3008" s="114">
        <f t="shared" si="180"/>
        <v>99.917857183019336</v>
      </c>
      <c r="H3008" s="114">
        <v>100</v>
      </c>
      <c r="I3008" s="111"/>
    </row>
    <row r="3009" spans="3:9" ht="16.5" hidden="1" customHeight="1" x14ac:dyDescent="0.25">
      <c r="C3009" s="109"/>
      <c r="D3009" s="119" t="s">
        <v>2346</v>
      </c>
      <c r="E3009" s="107">
        <v>249996521.87</v>
      </c>
      <c r="F3009" s="108">
        <v>249653625</v>
      </c>
      <c r="G3009" s="114">
        <f t="shared" si="180"/>
        <v>99.862839343749627</v>
      </c>
      <c r="H3009" s="114">
        <v>100</v>
      </c>
      <c r="I3009" s="111"/>
    </row>
    <row r="3010" spans="3:9" ht="16.5" hidden="1" customHeight="1" x14ac:dyDescent="0.25">
      <c r="C3010" s="109"/>
      <c r="D3010" s="119" t="s">
        <v>2347</v>
      </c>
      <c r="E3010" s="107">
        <v>239589593.00999999</v>
      </c>
      <c r="F3010" s="108">
        <v>239431720</v>
      </c>
      <c r="G3010" s="114">
        <f t="shared" si="180"/>
        <v>99.934106900046615</v>
      </c>
      <c r="H3010" s="114">
        <v>100</v>
      </c>
      <c r="I3010" s="111"/>
    </row>
    <row r="3011" spans="3:9" ht="16.5" hidden="1" customHeight="1" x14ac:dyDescent="0.25">
      <c r="C3011" s="109"/>
      <c r="D3011" s="217" t="s">
        <v>2348</v>
      </c>
      <c r="E3011" s="120">
        <f>E3012</f>
        <v>487780972.75</v>
      </c>
      <c r="F3011" s="113">
        <f>F3012</f>
        <v>484665975</v>
      </c>
      <c r="G3011" s="114">
        <f t="shared" si="180"/>
        <v>99.3613941658203</v>
      </c>
      <c r="H3011" s="114">
        <f>H3012</f>
        <v>80</v>
      </c>
      <c r="I3011" s="111"/>
    </row>
    <row r="3012" spans="3:9" ht="16.5" hidden="1" customHeight="1" x14ac:dyDescent="0.25">
      <c r="C3012" s="109"/>
      <c r="D3012" s="119" t="s">
        <v>2349</v>
      </c>
      <c r="E3012" s="107">
        <v>487780972.75</v>
      </c>
      <c r="F3012" s="108">
        <v>484665975</v>
      </c>
      <c r="G3012" s="114">
        <f t="shared" si="180"/>
        <v>99.3613941658203</v>
      </c>
      <c r="H3012" s="114">
        <v>80</v>
      </c>
      <c r="I3012" s="111"/>
    </row>
    <row r="3013" spans="3:9" ht="16.5" hidden="1" customHeight="1" x14ac:dyDescent="0.25">
      <c r="C3013" s="109"/>
      <c r="D3013" s="217" t="s">
        <v>2350</v>
      </c>
      <c r="E3013" s="120">
        <f>SUM(E3014:E3016)</f>
        <v>1133224830.1299999</v>
      </c>
      <c r="F3013" s="113">
        <f>SUM(F3014:F3016)</f>
        <v>1130036000</v>
      </c>
      <c r="G3013" s="114">
        <f t="shared" si="180"/>
        <v>99.718605695426376</v>
      </c>
      <c r="H3013" s="114">
        <f>SUM(H3014:H3016)/3</f>
        <v>63.333333333333336</v>
      </c>
      <c r="I3013" s="111"/>
    </row>
    <row r="3014" spans="3:9" ht="16.5" hidden="1" customHeight="1" x14ac:dyDescent="0.25">
      <c r="C3014" s="109"/>
      <c r="D3014" s="119" t="s">
        <v>2351</v>
      </c>
      <c r="E3014" s="107">
        <v>390466354.27999997</v>
      </c>
      <c r="F3014" s="108">
        <v>389238860</v>
      </c>
      <c r="G3014" s="114">
        <f t="shared" si="180"/>
        <v>99.685633789814389</v>
      </c>
      <c r="H3014" s="114">
        <v>90</v>
      </c>
      <c r="I3014" s="111"/>
    </row>
    <row r="3015" spans="3:9" ht="16.5" hidden="1" customHeight="1" x14ac:dyDescent="0.25">
      <c r="C3015" s="109"/>
      <c r="D3015" s="119" t="s">
        <v>2352</v>
      </c>
      <c r="E3015" s="107">
        <v>359996946.80000001</v>
      </c>
      <c r="F3015" s="108">
        <v>358879440</v>
      </c>
      <c r="G3015" s="114">
        <f t="shared" si="180"/>
        <v>99.689578811727856</v>
      </c>
      <c r="H3015" s="114"/>
      <c r="I3015" s="111"/>
    </row>
    <row r="3016" spans="3:9" ht="16.5" hidden="1" customHeight="1" x14ac:dyDescent="0.25">
      <c r="C3016" s="109"/>
      <c r="D3016" s="119" t="s">
        <v>2353</v>
      </c>
      <c r="E3016" s="107">
        <v>382761529.05000001</v>
      </c>
      <c r="F3016" s="108">
        <v>381917700</v>
      </c>
      <c r="G3016" s="114">
        <f t="shared" si="180"/>
        <v>99.779541833241609</v>
      </c>
      <c r="H3016" s="114">
        <v>100</v>
      </c>
      <c r="I3016" s="111"/>
    </row>
    <row r="3017" spans="3:9" ht="16.5" hidden="1" customHeight="1" x14ac:dyDescent="0.25">
      <c r="C3017" s="109"/>
      <c r="D3017" s="119"/>
      <c r="E3017" s="107"/>
      <c r="F3017" s="108"/>
      <c r="G3017" s="114"/>
      <c r="H3017" s="114"/>
      <c r="I3017" s="111"/>
    </row>
    <row r="3018" spans="3:9" ht="16.5" hidden="1" customHeight="1" x14ac:dyDescent="0.25">
      <c r="C3018" s="109"/>
      <c r="D3018" s="48" t="s">
        <v>2354</v>
      </c>
      <c r="E3018" s="120">
        <f>E3019</f>
        <v>2113722940</v>
      </c>
      <c r="F3018" s="113">
        <f>F3019</f>
        <v>2113122940</v>
      </c>
      <c r="G3018" s="114">
        <f>+F3018/E3018*100</f>
        <v>99.971614065938084</v>
      </c>
      <c r="H3018" s="114">
        <f>H3019</f>
        <v>50</v>
      </c>
      <c r="I3018" s="111"/>
    </row>
    <row r="3019" spans="3:9" ht="16.5" hidden="1" customHeight="1" x14ac:dyDescent="0.25">
      <c r="C3019" s="109"/>
      <c r="D3019" s="217" t="s">
        <v>2355</v>
      </c>
      <c r="E3019" s="199">
        <f>SUM(E3020:E3020)</f>
        <v>2113722940</v>
      </c>
      <c r="F3019" s="254">
        <f>F3020</f>
        <v>2113122940</v>
      </c>
      <c r="G3019" s="114">
        <f>+F3019/E3019*100</f>
        <v>99.971614065938084</v>
      </c>
      <c r="H3019" s="114">
        <f>H3020</f>
        <v>50</v>
      </c>
      <c r="I3019" s="111"/>
    </row>
    <row r="3020" spans="3:9" ht="16.5" hidden="1" customHeight="1" x14ac:dyDescent="0.25">
      <c r="C3020" s="109"/>
      <c r="D3020" s="119" t="s">
        <v>2356</v>
      </c>
      <c r="E3020" s="197">
        <v>2113722940</v>
      </c>
      <c r="F3020" s="253">
        <v>2113122940</v>
      </c>
      <c r="G3020" s="114">
        <f>+F3020/E3020*100</f>
        <v>99.971614065938084</v>
      </c>
      <c r="H3020" s="114">
        <v>50</v>
      </c>
      <c r="I3020" s="111"/>
    </row>
    <row r="3021" spans="3:9" ht="16.5" hidden="1" customHeight="1" x14ac:dyDescent="0.25">
      <c r="C3021" s="109"/>
      <c r="D3021" s="119"/>
      <c r="E3021" s="107"/>
      <c r="F3021" s="108"/>
      <c r="G3021" s="114"/>
      <c r="H3021" s="114"/>
      <c r="I3021" s="111"/>
    </row>
    <row r="3022" spans="3:9" ht="16.5" hidden="1" customHeight="1" x14ac:dyDescent="0.25">
      <c r="C3022" s="109"/>
      <c r="D3022" s="48" t="s">
        <v>2357</v>
      </c>
      <c r="E3022" s="120">
        <f>E3023+E3025+E3028</f>
        <v>9000083858</v>
      </c>
      <c r="F3022" s="113">
        <f>F3023+F3025+F3028</f>
        <v>8258385885</v>
      </c>
      <c r="G3022" s="114">
        <f t="shared" ref="G3022:G3030" si="181">+F3022/E3022*100</f>
        <v>91.758988197196416</v>
      </c>
      <c r="H3022" s="114">
        <f>(H3023+H3025+H3028)/3</f>
        <v>71.666666666666671</v>
      </c>
      <c r="I3022" s="111"/>
    </row>
    <row r="3023" spans="3:9" ht="16.5" hidden="1" customHeight="1" x14ac:dyDescent="0.25">
      <c r="C3023" s="109"/>
      <c r="D3023" s="217" t="s">
        <v>2227</v>
      </c>
      <c r="E3023" s="107">
        <f>E3024</f>
        <v>650320334.42999995</v>
      </c>
      <c r="F3023" s="113">
        <f>F3024</f>
        <v>436785435</v>
      </c>
      <c r="G3023" s="114">
        <f t="shared" si="181"/>
        <v>67.164658995760689</v>
      </c>
      <c r="H3023" s="114">
        <f>H3024</f>
        <v>60</v>
      </c>
      <c r="I3023" s="111"/>
    </row>
    <row r="3024" spans="3:9" ht="16.5" hidden="1" customHeight="1" x14ac:dyDescent="0.25">
      <c r="C3024" s="109"/>
      <c r="D3024" s="119" t="s">
        <v>2358</v>
      </c>
      <c r="E3024" s="107">
        <v>650320334.42999995</v>
      </c>
      <c r="F3024" s="108">
        <v>436785435</v>
      </c>
      <c r="G3024" s="114">
        <f t="shared" si="181"/>
        <v>67.164658995760689</v>
      </c>
      <c r="H3024" s="114">
        <v>60</v>
      </c>
      <c r="I3024" s="111"/>
    </row>
    <row r="3025" spans="3:9" ht="16.5" hidden="1" customHeight="1" x14ac:dyDescent="0.25">
      <c r="C3025" s="109"/>
      <c r="D3025" s="217" t="s">
        <v>1985</v>
      </c>
      <c r="E3025" s="120">
        <f>SUM(E3026:E3027)</f>
        <v>1547876223.5699999</v>
      </c>
      <c r="F3025" s="113">
        <f>SUM(F3026:F3027)</f>
        <v>1499027450</v>
      </c>
      <c r="G3025" s="114">
        <f t="shared" si="181"/>
        <v>96.844142133190999</v>
      </c>
      <c r="H3025" s="114">
        <v>90</v>
      </c>
      <c r="I3025" s="111"/>
    </row>
    <row r="3026" spans="3:9" ht="16.5" hidden="1" customHeight="1" x14ac:dyDescent="0.25">
      <c r="C3026" s="109"/>
      <c r="D3026" s="119" t="s">
        <v>2359</v>
      </c>
      <c r="E3026" s="107">
        <v>936250447.40999997</v>
      </c>
      <c r="F3026" s="108">
        <v>888472750</v>
      </c>
      <c r="G3026" s="114">
        <f t="shared" si="181"/>
        <v>94.896910592441373</v>
      </c>
      <c r="H3026" s="114">
        <v>80</v>
      </c>
      <c r="I3026" s="111"/>
    </row>
    <row r="3027" spans="3:9" ht="16.5" hidden="1" customHeight="1" x14ac:dyDescent="0.25">
      <c r="C3027" s="109"/>
      <c r="D3027" s="119" t="s">
        <v>2360</v>
      </c>
      <c r="E3027" s="107">
        <v>611625776.15999997</v>
      </c>
      <c r="F3027" s="108">
        <v>610554700</v>
      </c>
      <c r="G3027" s="114">
        <f t="shared" si="181"/>
        <v>99.824880474017206</v>
      </c>
      <c r="H3027" s="114">
        <v>100</v>
      </c>
      <c r="I3027" s="111"/>
    </row>
    <row r="3028" spans="3:9" ht="16.5" hidden="1" customHeight="1" x14ac:dyDescent="0.25">
      <c r="C3028" s="109"/>
      <c r="D3028" s="217" t="s">
        <v>2361</v>
      </c>
      <c r="E3028" s="120">
        <f>SUM(E3029:E3030)</f>
        <v>6801887300</v>
      </c>
      <c r="F3028" s="113">
        <f>SUM(F3029:F3030)</f>
        <v>6322573000</v>
      </c>
      <c r="G3028" s="114">
        <f t="shared" si="181"/>
        <v>92.953216087540881</v>
      </c>
      <c r="H3028" s="114">
        <v>65</v>
      </c>
      <c r="I3028" s="111"/>
    </row>
    <row r="3029" spans="3:9" ht="16.5" hidden="1" customHeight="1" x14ac:dyDescent="0.25">
      <c r="C3029" s="109"/>
      <c r="D3029" s="119" t="s">
        <v>2362</v>
      </c>
      <c r="E3029" s="107">
        <v>6032317175</v>
      </c>
      <c r="F3029" s="108">
        <v>5553745000</v>
      </c>
      <c r="G3029" s="114">
        <f t="shared" si="181"/>
        <v>92.066528315464453</v>
      </c>
      <c r="H3029" s="114">
        <v>30</v>
      </c>
      <c r="I3029" s="111"/>
    </row>
    <row r="3030" spans="3:9" ht="16.5" hidden="1" customHeight="1" x14ac:dyDescent="0.25">
      <c r="C3030" s="109"/>
      <c r="D3030" s="119" t="s">
        <v>2363</v>
      </c>
      <c r="E3030" s="107">
        <v>769570125</v>
      </c>
      <c r="F3030" s="108">
        <v>768828000</v>
      </c>
      <c r="G3030" s="114">
        <f t="shared" si="181"/>
        <v>99.903566292935295</v>
      </c>
      <c r="H3030" s="114">
        <v>100</v>
      </c>
      <c r="I3030" s="111"/>
    </row>
    <row r="3031" spans="3:9" ht="16.5" hidden="1" customHeight="1" x14ac:dyDescent="0.25">
      <c r="C3031" s="109"/>
      <c r="D3031" s="119"/>
      <c r="E3031" s="107"/>
      <c r="F3031" s="108"/>
      <c r="G3031" s="114"/>
      <c r="H3031" s="114"/>
      <c r="I3031" s="111"/>
    </row>
    <row r="3032" spans="3:9" ht="18.75" hidden="1" customHeight="1" x14ac:dyDescent="0.25">
      <c r="C3032" s="109"/>
      <c r="D3032" s="217" t="s">
        <v>2364</v>
      </c>
      <c r="E3032" s="199">
        <f>E3033+E3035+E3037</f>
        <v>5600000000</v>
      </c>
      <c r="F3032" s="254">
        <f>F3033+F3035+F3037</f>
        <v>5414431260</v>
      </c>
      <c r="G3032" s="114">
        <f t="shared" ref="G3032:G3038" si="182">+F3032/E3032*100</f>
        <v>96.686272500000001</v>
      </c>
      <c r="H3032" s="114">
        <f>(H3033+H3035+H3038)/3</f>
        <v>81.469725376791985</v>
      </c>
      <c r="I3032" s="111"/>
    </row>
    <row r="3033" spans="3:9" ht="18.75" hidden="1" customHeight="1" x14ac:dyDescent="0.25">
      <c r="C3033" s="109"/>
      <c r="D3033" s="217" t="s">
        <v>2365</v>
      </c>
      <c r="E3033" s="199">
        <f>E3034</f>
        <v>5203851999</v>
      </c>
      <c r="F3033" s="254">
        <f>F3034</f>
        <v>5030233400</v>
      </c>
      <c r="G3033" s="114">
        <f t="shared" si="182"/>
        <v>96.663652251575115</v>
      </c>
      <c r="H3033" s="114">
        <v>44.409176130375954</v>
      </c>
      <c r="I3033" s="111"/>
    </row>
    <row r="3034" spans="3:9" ht="16.5" hidden="1" customHeight="1" x14ac:dyDescent="0.25">
      <c r="C3034" s="109"/>
      <c r="D3034" s="119" t="s">
        <v>2366</v>
      </c>
      <c r="E3034" s="197">
        <v>5203851999</v>
      </c>
      <c r="F3034" s="253">
        <v>5030233400</v>
      </c>
      <c r="G3034" s="114">
        <f t="shared" si="182"/>
        <v>96.663652251575115</v>
      </c>
      <c r="H3034" s="114">
        <v>44.409176130375954</v>
      </c>
      <c r="I3034" s="111"/>
    </row>
    <row r="3035" spans="3:9" ht="16.5" hidden="1" customHeight="1" x14ac:dyDescent="0.25">
      <c r="C3035" s="109"/>
      <c r="D3035" s="217" t="s">
        <v>2243</v>
      </c>
      <c r="E3035" s="199">
        <f>E3036</f>
        <v>197148001</v>
      </c>
      <c r="F3035" s="254">
        <v>185317860</v>
      </c>
      <c r="G3035" s="114">
        <f t="shared" si="182"/>
        <v>93.999360409441834</v>
      </c>
      <c r="H3035" s="114">
        <v>100</v>
      </c>
      <c r="I3035" s="111"/>
    </row>
    <row r="3036" spans="3:9" ht="30.75" hidden="1" customHeight="1" x14ac:dyDescent="0.25">
      <c r="C3036" s="109"/>
      <c r="D3036" s="119" t="s">
        <v>2367</v>
      </c>
      <c r="E3036" s="197">
        <v>197148001</v>
      </c>
      <c r="F3036" s="253">
        <v>185317860</v>
      </c>
      <c r="G3036" s="114">
        <f t="shared" si="182"/>
        <v>93.999360409441834</v>
      </c>
      <c r="H3036" s="114">
        <v>100</v>
      </c>
      <c r="I3036" s="111"/>
    </row>
    <row r="3037" spans="3:9" ht="18.75" hidden="1" customHeight="1" x14ac:dyDescent="0.25">
      <c r="C3037" s="109"/>
      <c r="D3037" s="217" t="s">
        <v>2368</v>
      </c>
      <c r="E3037" s="199">
        <f>E3038</f>
        <v>199000000</v>
      </c>
      <c r="F3037" s="254">
        <v>198880000</v>
      </c>
      <c r="G3037" s="114">
        <f t="shared" si="182"/>
        <v>99.939698492462313</v>
      </c>
      <c r="H3037" s="114">
        <v>100</v>
      </c>
      <c r="I3037" s="111"/>
    </row>
    <row r="3038" spans="3:9" ht="18.75" hidden="1" customHeight="1" x14ac:dyDescent="0.25">
      <c r="C3038" s="109"/>
      <c r="D3038" s="119" t="s">
        <v>2369</v>
      </c>
      <c r="E3038" s="197">
        <v>199000000</v>
      </c>
      <c r="F3038" s="253">
        <v>198880000</v>
      </c>
      <c r="G3038" s="114">
        <f t="shared" si="182"/>
        <v>99.939698492462313</v>
      </c>
      <c r="H3038" s="114">
        <v>100</v>
      </c>
      <c r="I3038" s="111"/>
    </row>
    <row r="3039" spans="3:9" ht="16.5" hidden="1" customHeight="1" x14ac:dyDescent="0.25">
      <c r="C3039" s="109"/>
      <c r="D3039" s="32"/>
      <c r="E3039" s="107"/>
      <c r="F3039" s="108"/>
      <c r="G3039" s="117"/>
      <c r="H3039" s="117"/>
      <c r="I3039" s="111"/>
    </row>
    <row r="3040" spans="3:9" s="115" customFormat="1" ht="16.5" customHeight="1" x14ac:dyDescent="0.25">
      <c r="C3040" s="159">
        <v>13</v>
      </c>
      <c r="D3040" s="48" t="s">
        <v>2370</v>
      </c>
      <c r="E3040" s="168">
        <f>+E3041+E3112+E3136+E3147+E3166+E3162+E3178+E3186+E3194+E3198+E3222+E3227+E3246+E3262</f>
        <v>110694494000</v>
      </c>
      <c r="F3040" s="113">
        <f>+F3041+F3112+F3136+F3147+F3162+F3186+F3194+F3198+F3227+F3246+F3262+F3166</f>
        <v>103104855640.86</v>
      </c>
      <c r="G3040" s="114">
        <f>+F3040/E3040*100</f>
        <v>93.143617098841418</v>
      </c>
      <c r="H3040" s="114">
        <f>(H3041+H3112+H3147+H3162+H3166+H3178+H3186+H3194+H3198+H3222+H3227+H3262)/13</f>
        <v>88.705738705738696</v>
      </c>
      <c r="I3040" s="121"/>
    </row>
    <row r="3041" spans="3:9" s="115" customFormat="1" ht="16.5" hidden="1" customHeight="1" x14ac:dyDescent="0.25">
      <c r="C3041" s="159"/>
      <c r="D3041" s="274" t="s">
        <v>977</v>
      </c>
      <c r="E3041" s="199">
        <f>E3042+E3046+E3073+E3082+E3093+E3098+E3106</f>
        <v>29811648200</v>
      </c>
      <c r="F3041" s="254">
        <f>+F3042+F3046+F3073+F3082+F3093+F3098+F3106</f>
        <v>26998348665</v>
      </c>
      <c r="G3041" s="297">
        <f t="shared" ref="G3041:G3071" si="183">(F3041/E3041)*100</f>
        <v>90.563086226812516</v>
      </c>
      <c r="H3041" s="297">
        <f>(H3042+H3047+H3074+H3083+H3094+H3099+H3107)/7</f>
        <v>97.619047619047606</v>
      </c>
      <c r="I3041" s="121"/>
    </row>
    <row r="3042" spans="3:9" s="115" customFormat="1" ht="16.5" hidden="1" customHeight="1" x14ac:dyDescent="0.25">
      <c r="C3042" s="159"/>
      <c r="D3042" s="274" t="s">
        <v>797</v>
      </c>
      <c r="E3042" s="199">
        <v>1400760000</v>
      </c>
      <c r="F3042" s="254">
        <f>SUM(F3043:F3045)</f>
        <v>1214760000</v>
      </c>
      <c r="G3042" s="297">
        <f t="shared" si="183"/>
        <v>86.721494046089262</v>
      </c>
      <c r="H3042" s="297">
        <f>SUM(H3043:H3045)/3</f>
        <v>83.333333333333329</v>
      </c>
      <c r="I3042" s="121"/>
    </row>
    <row r="3043" spans="3:9" ht="16.5" hidden="1" customHeight="1" x14ac:dyDescent="0.25">
      <c r="C3043" s="109"/>
      <c r="D3043" s="275" t="s">
        <v>2371</v>
      </c>
      <c r="E3043" s="197">
        <v>683760000</v>
      </c>
      <c r="F3043" s="108">
        <v>683760000</v>
      </c>
      <c r="G3043" s="276">
        <f t="shared" si="183"/>
        <v>100</v>
      </c>
      <c r="H3043" s="276">
        <v>100</v>
      </c>
      <c r="I3043" s="111"/>
    </row>
    <row r="3044" spans="3:9" ht="16.5" hidden="1" customHeight="1" x14ac:dyDescent="0.25">
      <c r="C3044" s="109"/>
      <c r="D3044" s="275" t="s">
        <v>2372</v>
      </c>
      <c r="E3044" s="197">
        <v>372000000</v>
      </c>
      <c r="F3044" s="108">
        <v>186000000</v>
      </c>
      <c r="G3044" s="276">
        <f t="shared" si="183"/>
        <v>50</v>
      </c>
      <c r="H3044" s="276">
        <v>50</v>
      </c>
      <c r="I3044" s="111"/>
    </row>
    <row r="3045" spans="3:9" ht="18.75" hidden="1" customHeight="1" x14ac:dyDescent="0.25">
      <c r="C3045" s="109"/>
      <c r="D3045" s="275" t="s">
        <v>2074</v>
      </c>
      <c r="E3045" s="197">
        <v>345000000</v>
      </c>
      <c r="F3045" s="108">
        <v>345000000</v>
      </c>
      <c r="G3045" s="276">
        <f t="shared" si="183"/>
        <v>100</v>
      </c>
      <c r="H3045" s="276">
        <v>100</v>
      </c>
      <c r="I3045" s="111"/>
    </row>
    <row r="3046" spans="3:9" ht="16.5" hidden="1" customHeight="1" x14ac:dyDescent="0.25">
      <c r="C3046" s="109"/>
      <c r="D3046" s="274" t="s">
        <v>2373</v>
      </c>
      <c r="E3046" s="199">
        <v>14554178165</v>
      </c>
      <c r="F3046" s="254">
        <f>SUM(F3047:F3071)</f>
        <v>13640306665</v>
      </c>
      <c r="G3046" s="297">
        <f t="shared" si="183"/>
        <v>93.720899320872093</v>
      </c>
      <c r="H3046" s="297">
        <f>SUM(H3047:H3071)/25</f>
        <v>99.6</v>
      </c>
      <c r="I3046" s="111"/>
    </row>
    <row r="3047" spans="3:9" ht="35.25" hidden="1" customHeight="1" x14ac:dyDescent="0.25">
      <c r="C3047" s="109"/>
      <c r="D3047" s="275" t="s">
        <v>2374</v>
      </c>
      <c r="E3047" s="197">
        <v>1320000000</v>
      </c>
      <c r="F3047" s="108">
        <v>1320000000</v>
      </c>
      <c r="G3047" s="276">
        <f t="shared" si="183"/>
        <v>100</v>
      </c>
      <c r="H3047" s="276">
        <v>100</v>
      </c>
      <c r="I3047" s="111"/>
    </row>
    <row r="3048" spans="3:9" ht="16.5" hidden="1" customHeight="1" x14ac:dyDescent="0.25">
      <c r="C3048" s="109"/>
      <c r="D3048" s="275" t="s">
        <v>2375</v>
      </c>
      <c r="E3048" s="197">
        <v>72000000</v>
      </c>
      <c r="F3048" s="108">
        <v>72000000</v>
      </c>
      <c r="G3048" s="276">
        <f t="shared" si="183"/>
        <v>100</v>
      </c>
      <c r="H3048" s="276">
        <v>100</v>
      </c>
      <c r="I3048" s="111"/>
    </row>
    <row r="3049" spans="3:9" ht="16.5" hidden="1" customHeight="1" x14ac:dyDescent="0.25">
      <c r="C3049" s="109"/>
      <c r="D3049" s="275" t="s">
        <v>2376</v>
      </c>
      <c r="E3049" s="197">
        <v>2246645165</v>
      </c>
      <c r="F3049" s="108">
        <v>2246645165</v>
      </c>
      <c r="G3049" s="276">
        <f t="shared" si="183"/>
        <v>100</v>
      </c>
      <c r="H3049" s="276">
        <v>100</v>
      </c>
      <c r="I3049" s="111"/>
    </row>
    <row r="3050" spans="3:9" ht="16.5" hidden="1" customHeight="1" x14ac:dyDescent="0.25">
      <c r="C3050" s="109"/>
      <c r="D3050" s="275" t="s">
        <v>2377</v>
      </c>
      <c r="E3050" s="197">
        <v>150000000</v>
      </c>
      <c r="F3050" s="108">
        <v>150000000</v>
      </c>
      <c r="G3050" s="276">
        <f t="shared" si="183"/>
        <v>100</v>
      </c>
      <c r="H3050" s="276">
        <v>100</v>
      </c>
      <c r="I3050" s="111"/>
    </row>
    <row r="3051" spans="3:9" ht="35.25" hidden="1" customHeight="1" x14ac:dyDescent="0.25">
      <c r="C3051" s="109"/>
      <c r="D3051" s="275" t="s">
        <v>2378</v>
      </c>
      <c r="E3051" s="197">
        <v>150000000</v>
      </c>
      <c r="F3051" s="108">
        <v>150000000</v>
      </c>
      <c r="G3051" s="276">
        <f t="shared" si="183"/>
        <v>100</v>
      </c>
      <c r="H3051" s="276">
        <v>100</v>
      </c>
      <c r="I3051" s="111"/>
    </row>
    <row r="3052" spans="3:9" ht="35.25" hidden="1" customHeight="1" x14ac:dyDescent="0.25">
      <c r="C3052" s="109"/>
      <c r="D3052" s="275" t="s">
        <v>2379</v>
      </c>
      <c r="E3052" s="197">
        <v>216000000</v>
      </c>
      <c r="F3052" s="108">
        <v>216000000</v>
      </c>
      <c r="G3052" s="276">
        <f t="shared" si="183"/>
        <v>100</v>
      </c>
      <c r="H3052" s="276">
        <v>100</v>
      </c>
      <c r="I3052" s="111"/>
    </row>
    <row r="3053" spans="3:9" ht="35.25" hidden="1" customHeight="1" x14ac:dyDescent="0.25">
      <c r="C3053" s="109"/>
      <c r="D3053" s="275" t="s">
        <v>2380</v>
      </c>
      <c r="E3053" s="197">
        <v>347000000</v>
      </c>
      <c r="F3053" s="108">
        <v>347000000</v>
      </c>
      <c r="G3053" s="276">
        <f t="shared" si="183"/>
        <v>100</v>
      </c>
      <c r="H3053" s="276">
        <v>100</v>
      </c>
      <c r="I3053" s="111"/>
    </row>
    <row r="3054" spans="3:9" ht="16.5" hidden="1" customHeight="1" x14ac:dyDescent="0.25">
      <c r="C3054" s="109"/>
      <c r="D3054" s="275" t="s">
        <v>2381</v>
      </c>
      <c r="E3054" s="197">
        <v>148068000</v>
      </c>
      <c r="F3054" s="108">
        <v>148068000</v>
      </c>
      <c r="G3054" s="276">
        <f t="shared" si="183"/>
        <v>100</v>
      </c>
      <c r="H3054" s="276">
        <v>100</v>
      </c>
      <c r="I3054" s="111"/>
    </row>
    <row r="3055" spans="3:9" ht="18.75" hidden="1" customHeight="1" x14ac:dyDescent="0.25">
      <c r="C3055" s="109"/>
      <c r="D3055" s="275" t="s">
        <v>2382</v>
      </c>
      <c r="E3055" s="197">
        <v>75000000</v>
      </c>
      <c r="F3055" s="108">
        <v>75000000</v>
      </c>
      <c r="G3055" s="276">
        <f t="shared" si="183"/>
        <v>100</v>
      </c>
      <c r="H3055" s="276">
        <v>100</v>
      </c>
      <c r="I3055" s="111"/>
    </row>
    <row r="3056" spans="3:9" ht="16.5" hidden="1" customHeight="1" x14ac:dyDescent="0.25">
      <c r="C3056" s="109"/>
      <c r="D3056" s="275" t="s">
        <v>2383</v>
      </c>
      <c r="E3056" s="197">
        <v>200000000</v>
      </c>
      <c r="F3056" s="108">
        <v>200000000</v>
      </c>
      <c r="G3056" s="276">
        <f t="shared" si="183"/>
        <v>100</v>
      </c>
      <c r="H3056" s="276">
        <v>100</v>
      </c>
      <c r="I3056" s="111"/>
    </row>
    <row r="3057" spans="3:9" ht="18.75" hidden="1" customHeight="1" x14ac:dyDescent="0.25">
      <c r="C3057" s="109"/>
      <c r="D3057" s="275" t="s">
        <v>2384</v>
      </c>
      <c r="E3057" s="197">
        <v>100000000</v>
      </c>
      <c r="F3057" s="108">
        <v>100000000</v>
      </c>
      <c r="G3057" s="276">
        <f t="shared" si="183"/>
        <v>100</v>
      </c>
      <c r="H3057" s="276">
        <v>100</v>
      </c>
      <c r="I3057" s="111"/>
    </row>
    <row r="3058" spans="3:9" ht="16.5" hidden="1" customHeight="1" x14ac:dyDescent="0.25">
      <c r="C3058" s="109"/>
      <c r="D3058" s="275" t="s">
        <v>2385</v>
      </c>
      <c r="E3058" s="197">
        <v>500000000</v>
      </c>
      <c r="F3058" s="108">
        <v>500000000</v>
      </c>
      <c r="G3058" s="276">
        <f t="shared" si="183"/>
        <v>100</v>
      </c>
      <c r="H3058" s="276">
        <v>100</v>
      </c>
      <c r="I3058" s="111"/>
    </row>
    <row r="3059" spans="3:9" ht="16.5" hidden="1" customHeight="1" x14ac:dyDescent="0.25">
      <c r="C3059" s="109"/>
      <c r="D3059" s="275" t="s">
        <v>2386</v>
      </c>
      <c r="E3059" s="197">
        <v>250000000</v>
      </c>
      <c r="F3059" s="108">
        <v>250000000</v>
      </c>
      <c r="G3059" s="276">
        <f t="shared" si="183"/>
        <v>100</v>
      </c>
      <c r="H3059" s="276">
        <v>100</v>
      </c>
      <c r="I3059" s="111"/>
    </row>
    <row r="3060" spans="3:9" ht="16.5" hidden="1" customHeight="1" x14ac:dyDescent="0.25">
      <c r="C3060" s="109"/>
      <c r="D3060" s="275" t="s">
        <v>2387</v>
      </c>
      <c r="E3060" s="197">
        <v>200000000</v>
      </c>
      <c r="F3060" s="108">
        <v>200000000</v>
      </c>
      <c r="G3060" s="276">
        <f t="shared" si="183"/>
        <v>100</v>
      </c>
      <c r="H3060" s="276">
        <v>100</v>
      </c>
      <c r="I3060" s="111"/>
    </row>
    <row r="3061" spans="3:9" ht="16.5" hidden="1" customHeight="1" x14ac:dyDescent="0.25">
      <c r="C3061" s="109"/>
      <c r="D3061" s="275" t="s">
        <v>2388</v>
      </c>
      <c r="E3061" s="197">
        <v>142310000</v>
      </c>
      <c r="F3061" s="108">
        <v>0</v>
      </c>
      <c r="G3061" s="276">
        <f t="shared" si="183"/>
        <v>0</v>
      </c>
      <c r="H3061" s="276">
        <v>100</v>
      </c>
      <c r="I3061" s="111"/>
    </row>
    <row r="3062" spans="3:9" ht="16.5" hidden="1" customHeight="1" x14ac:dyDescent="0.25">
      <c r="C3062" s="109"/>
      <c r="D3062" s="275" t="s">
        <v>2389</v>
      </c>
      <c r="E3062" s="197">
        <v>263750000</v>
      </c>
      <c r="F3062" s="108">
        <v>261750000</v>
      </c>
      <c r="G3062" s="276">
        <f t="shared" si="183"/>
        <v>99.241706161137444</v>
      </c>
      <c r="H3062" s="276">
        <v>100</v>
      </c>
      <c r="I3062" s="111"/>
    </row>
    <row r="3063" spans="3:9" ht="16.5" hidden="1" customHeight="1" x14ac:dyDescent="0.25">
      <c r="C3063" s="109"/>
      <c r="D3063" s="275" t="s">
        <v>2390</v>
      </c>
      <c r="E3063" s="197">
        <v>504000000</v>
      </c>
      <c r="F3063" s="108">
        <v>488500000</v>
      </c>
      <c r="G3063" s="276">
        <f t="shared" si="183"/>
        <v>96.924603174603178</v>
      </c>
      <c r="H3063" s="276">
        <v>100</v>
      </c>
      <c r="I3063" s="111"/>
    </row>
    <row r="3064" spans="3:9" ht="16.5" hidden="1" customHeight="1" x14ac:dyDescent="0.25">
      <c r="C3064" s="109"/>
      <c r="D3064" s="275" t="s">
        <v>2391</v>
      </c>
      <c r="E3064" s="197">
        <v>500000000</v>
      </c>
      <c r="F3064" s="108">
        <v>0</v>
      </c>
      <c r="G3064" s="276">
        <f t="shared" si="183"/>
        <v>0</v>
      </c>
      <c r="H3064" s="276">
        <v>100</v>
      </c>
      <c r="I3064" s="111"/>
    </row>
    <row r="3065" spans="3:9" ht="35.25" hidden="1" customHeight="1" x14ac:dyDescent="0.25">
      <c r="C3065" s="109"/>
      <c r="D3065" s="275" t="s">
        <v>2392</v>
      </c>
      <c r="E3065" s="197">
        <v>121400000</v>
      </c>
      <c r="F3065" s="108">
        <v>0</v>
      </c>
      <c r="G3065" s="276">
        <f t="shared" si="183"/>
        <v>0</v>
      </c>
      <c r="H3065" s="276">
        <v>100</v>
      </c>
      <c r="I3065" s="111"/>
    </row>
    <row r="3066" spans="3:9" ht="35.25" hidden="1" customHeight="1" x14ac:dyDescent="0.25">
      <c r="C3066" s="109"/>
      <c r="D3066" s="275" t="s">
        <v>2393</v>
      </c>
      <c r="E3066" s="197">
        <v>1062685000</v>
      </c>
      <c r="F3066" s="108">
        <v>1059251000</v>
      </c>
      <c r="G3066" s="276">
        <f t="shared" si="183"/>
        <v>99.676856265026785</v>
      </c>
      <c r="H3066" s="276">
        <v>100</v>
      </c>
      <c r="I3066" s="111"/>
    </row>
    <row r="3067" spans="3:9" ht="16.5" hidden="1" customHeight="1" x14ac:dyDescent="0.25">
      <c r="C3067" s="109"/>
      <c r="D3067" s="275" t="s">
        <v>2394</v>
      </c>
      <c r="E3067" s="197">
        <v>150000000</v>
      </c>
      <c r="F3067" s="108">
        <v>150000000</v>
      </c>
      <c r="G3067" s="276">
        <f t="shared" si="183"/>
        <v>100</v>
      </c>
      <c r="H3067" s="276">
        <v>100</v>
      </c>
      <c r="I3067" s="111"/>
    </row>
    <row r="3068" spans="3:9" ht="18.75" hidden="1" customHeight="1" x14ac:dyDescent="0.25">
      <c r="C3068" s="109"/>
      <c r="D3068" s="275" t="s">
        <v>2395</v>
      </c>
      <c r="E3068" s="197">
        <v>120000000</v>
      </c>
      <c r="F3068" s="108">
        <v>120000000</v>
      </c>
      <c r="G3068" s="276">
        <f t="shared" si="183"/>
        <v>100</v>
      </c>
      <c r="H3068" s="276">
        <v>100</v>
      </c>
      <c r="I3068" s="111"/>
    </row>
    <row r="3069" spans="3:9" ht="35.25" hidden="1" customHeight="1" x14ac:dyDescent="0.25">
      <c r="C3069" s="109"/>
      <c r="D3069" s="275" t="s">
        <v>2396</v>
      </c>
      <c r="E3069" s="197">
        <v>894240000</v>
      </c>
      <c r="F3069" s="108">
        <v>765012500</v>
      </c>
      <c r="G3069" s="276">
        <f t="shared" si="183"/>
        <v>85.548901860797997</v>
      </c>
      <c r="H3069" s="276">
        <v>90</v>
      </c>
      <c r="I3069" s="111"/>
    </row>
    <row r="3070" spans="3:9" ht="35.25" hidden="1" customHeight="1" x14ac:dyDescent="0.25">
      <c r="C3070" s="109"/>
      <c r="D3070" s="275" t="s">
        <v>2397</v>
      </c>
      <c r="E3070" s="197">
        <v>275000000</v>
      </c>
      <c r="F3070" s="108">
        <v>275000000</v>
      </c>
      <c r="G3070" s="276">
        <f t="shared" si="183"/>
        <v>100</v>
      </c>
      <c r="H3070" s="276">
        <v>100</v>
      </c>
      <c r="I3070" s="111"/>
    </row>
    <row r="3071" spans="3:9" ht="16.5" hidden="1" customHeight="1" x14ac:dyDescent="0.25">
      <c r="C3071" s="109"/>
      <c r="D3071" s="275" t="s">
        <v>2398</v>
      </c>
      <c r="E3071" s="197">
        <v>4546080000</v>
      </c>
      <c r="F3071" s="108">
        <v>4546080000</v>
      </c>
      <c r="G3071" s="276">
        <f t="shared" si="183"/>
        <v>100</v>
      </c>
      <c r="H3071" s="276">
        <v>100</v>
      </c>
      <c r="I3071" s="111"/>
    </row>
    <row r="3072" spans="3:9" ht="16.5" hidden="1" customHeight="1" x14ac:dyDescent="0.25">
      <c r="C3072" s="109"/>
      <c r="D3072" s="275"/>
      <c r="E3072" s="116"/>
      <c r="F3072" s="108"/>
      <c r="G3072" s="117"/>
      <c r="H3072" s="117"/>
      <c r="I3072" s="111"/>
    </row>
    <row r="3073" spans="3:9" ht="16.5" hidden="1" customHeight="1" x14ac:dyDescent="0.25">
      <c r="C3073" s="109"/>
      <c r="D3073" s="274" t="s">
        <v>2399</v>
      </c>
      <c r="E3073" s="199">
        <v>6040952300</v>
      </c>
      <c r="F3073" s="254">
        <f>SUM(F3074:F3080)</f>
        <v>5511380000</v>
      </c>
      <c r="G3073" s="297">
        <f t="shared" ref="G3073:G3080" si="184">(F3073/E3073)*100</f>
        <v>91.23362884358481</v>
      </c>
      <c r="H3073" s="297">
        <f>SUM(H3074:H3080)/7</f>
        <v>96.428571428571431</v>
      </c>
      <c r="I3073" s="111"/>
    </row>
    <row r="3074" spans="3:9" ht="18.75" hidden="1" customHeight="1" x14ac:dyDescent="0.25">
      <c r="C3074" s="109"/>
      <c r="D3074" s="275" t="s">
        <v>2400</v>
      </c>
      <c r="E3074" s="197">
        <v>200000000</v>
      </c>
      <c r="F3074" s="108">
        <v>200000000</v>
      </c>
      <c r="G3074" s="276">
        <f t="shared" si="184"/>
        <v>100</v>
      </c>
      <c r="H3074" s="276">
        <v>100</v>
      </c>
      <c r="I3074" s="111"/>
    </row>
    <row r="3075" spans="3:9" ht="18.75" hidden="1" customHeight="1" x14ac:dyDescent="0.25">
      <c r="C3075" s="109"/>
      <c r="D3075" s="275" t="s">
        <v>2401</v>
      </c>
      <c r="E3075" s="197">
        <v>1248972300</v>
      </c>
      <c r="F3075" s="108">
        <v>978400000</v>
      </c>
      <c r="G3075" s="276">
        <f t="shared" si="184"/>
        <v>78.336405058783129</v>
      </c>
      <c r="H3075" s="276">
        <v>75</v>
      </c>
      <c r="I3075" s="111"/>
    </row>
    <row r="3076" spans="3:9" ht="16.5" hidden="1" customHeight="1" x14ac:dyDescent="0.25">
      <c r="C3076" s="109"/>
      <c r="D3076" s="275" t="s">
        <v>2402</v>
      </c>
      <c r="E3076" s="197">
        <v>259000000</v>
      </c>
      <c r="F3076" s="108">
        <v>0</v>
      </c>
      <c r="G3076" s="276">
        <f t="shared" si="184"/>
        <v>0</v>
      </c>
      <c r="H3076" s="276">
        <v>100</v>
      </c>
      <c r="I3076" s="111"/>
    </row>
    <row r="3077" spans="3:9" ht="16.5" hidden="1" customHeight="1" x14ac:dyDescent="0.25">
      <c r="C3077" s="109"/>
      <c r="D3077" s="275" t="s">
        <v>2403</v>
      </c>
      <c r="E3077" s="197">
        <v>2600000000</v>
      </c>
      <c r="F3077" s="108">
        <v>2600000000</v>
      </c>
      <c r="G3077" s="276">
        <f t="shared" si="184"/>
        <v>100</v>
      </c>
      <c r="H3077" s="276">
        <v>100</v>
      </c>
      <c r="I3077" s="111"/>
    </row>
    <row r="3078" spans="3:9" ht="18.75" hidden="1" customHeight="1" x14ac:dyDescent="0.25">
      <c r="C3078" s="109"/>
      <c r="D3078" s="275" t="s">
        <v>2404</v>
      </c>
      <c r="E3078" s="197">
        <v>203500000</v>
      </c>
      <c r="F3078" s="108">
        <v>203500000</v>
      </c>
      <c r="G3078" s="276">
        <f t="shared" si="184"/>
        <v>100</v>
      </c>
      <c r="H3078" s="276">
        <v>100</v>
      </c>
      <c r="I3078" s="111"/>
    </row>
    <row r="3079" spans="3:9" ht="18.75" hidden="1" customHeight="1" x14ac:dyDescent="0.25">
      <c r="C3079" s="109"/>
      <c r="D3079" s="275" t="s">
        <v>2405</v>
      </c>
      <c r="E3079" s="197">
        <v>125000000</v>
      </c>
      <c r="F3079" s="108">
        <v>125000000</v>
      </c>
      <c r="G3079" s="276">
        <f t="shared" si="184"/>
        <v>100</v>
      </c>
      <c r="H3079" s="276">
        <v>100</v>
      </c>
      <c r="I3079" s="111"/>
    </row>
    <row r="3080" spans="3:9" ht="16.5" hidden="1" customHeight="1" x14ac:dyDescent="0.25">
      <c r="C3080" s="109"/>
      <c r="D3080" s="275" t="s">
        <v>2406</v>
      </c>
      <c r="E3080" s="197">
        <v>1404480000</v>
      </c>
      <c r="F3080" s="108">
        <v>1404480000</v>
      </c>
      <c r="G3080" s="276">
        <f t="shared" si="184"/>
        <v>100</v>
      </c>
      <c r="H3080" s="276">
        <v>100</v>
      </c>
      <c r="I3080" s="111"/>
    </row>
    <row r="3081" spans="3:9" ht="16.5" hidden="1" customHeight="1" x14ac:dyDescent="0.25">
      <c r="C3081" s="109"/>
      <c r="D3081" s="275"/>
      <c r="E3081" s="116"/>
      <c r="F3081" s="108"/>
      <c r="G3081" s="117"/>
      <c r="H3081" s="117"/>
      <c r="I3081" s="111"/>
    </row>
    <row r="3082" spans="3:9" ht="16.5" hidden="1" customHeight="1" x14ac:dyDescent="0.25">
      <c r="C3082" s="109"/>
      <c r="D3082" s="274" t="s">
        <v>2407</v>
      </c>
      <c r="E3082" s="199">
        <v>4019057735</v>
      </c>
      <c r="F3082" s="254">
        <f>SUM(F3083:F3091)</f>
        <v>3844140000</v>
      </c>
      <c r="G3082" s="297">
        <f t="shared" ref="G3082:G3091" si="185">(F3082/E3082)*100</f>
        <v>95.647792429635246</v>
      </c>
      <c r="H3082" s="297">
        <f>SUM(H3083:H3091)/9</f>
        <v>100</v>
      </c>
      <c r="I3082" s="111"/>
    </row>
    <row r="3083" spans="3:9" ht="18.75" hidden="1" customHeight="1" x14ac:dyDescent="0.25">
      <c r="C3083" s="109"/>
      <c r="D3083" s="275" t="s">
        <v>2408</v>
      </c>
      <c r="E3083" s="197">
        <v>270000000</v>
      </c>
      <c r="F3083" s="108">
        <v>270000000</v>
      </c>
      <c r="G3083" s="276">
        <f t="shared" si="185"/>
        <v>100</v>
      </c>
      <c r="H3083" s="276">
        <v>100</v>
      </c>
      <c r="I3083" s="111"/>
    </row>
    <row r="3084" spans="3:9" ht="16.5" hidden="1" customHeight="1" x14ac:dyDescent="0.25">
      <c r="C3084" s="109"/>
      <c r="D3084" s="275" t="s">
        <v>2409</v>
      </c>
      <c r="E3084" s="197">
        <v>135000000</v>
      </c>
      <c r="F3084" s="108">
        <v>135000000</v>
      </c>
      <c r="G3084" s="276">
        <f t="shared" si="185"/>
        <v>100</v>
      </c>
      <c r="H3084" s="276">
        <v>100</v>
      </c>
      <c r="I3084" s="111"/>
    </row>
    <row r="3085" spans="3:9" ht="16.5" hidden="1" customHeight="1" x14ac:dyDescent="0.25">
      <c r="C3085" s="109"/>
      <c r="D3085" s="275" t="s">
        <v>2410</v>
      </c>
      <c r="E3085" s="197">
        <v>350000000</v>
      </c>
      <c r="F3085" s="108">
        <v>350000000</v>
      </c>
      <c r="G3085" s="276">
        <f t="shared" si="185"/>
        <v>100</v>
      </c>
      <c r="H3085" s="276">
        <v>100</v>
      </c>
      <c r="I3085" s="111"/>
    </row>
    <row r="3086" spans="3:9" ht="16.5" hidden="1" customHeight="1" x14ac:dyDescent="0.25">
      <c r="C3086" s="109"/>
      <c r="D3086" s="275" t="s">
        <v>2411</v>
      </c>
      <c r="E3086" s="197">
        <v>225600000</v>
      </c>
      <c r="F3086" s="108">
        <v>225600000</v>
      </c>
      <c r="G3086" s="276">
        <f t="shared" si="185"/>
        <v>100</v>
      </c>
      <c r="H3086" s="276">
        <v>100</v>
      </c>
      <c r="I3086" s="111"/>
    </row>
    <row r="3087" spans="3:9" ht="16.5" hidden="1" customHeight="1" x14ac:dyDescent="0.25">
      <c r="C3087" s="109"/>
      <c r="D3087" s="275" t="s">
        <v>2412</v>
      </c>
      <c r="E3087" s="197">
        <v>200000000</v>
      </c>
      <c r="F3087" s="108">
        <v>200000000</v>
      </c>
      <c r="G3087" s="276">
        <f t="shared" si="185"/>
        <v>100</v>
      </c>
      <c r="H3087" s="276">
        <v>100</v>
      </c>
      <c r="I3087" s="111"/>
    </row>
    <row r="3088" spans="3:9" ht="16.5" hidden="1" customHeight="1" x14ac:dyDescent="0.25">
      <c r="C3088" s="109"/>
      <c r="D3088" s="275" t="s">
        <v>2413</v>
      </c>
      <c r="E3088" s="197">
        <v>835957735</v>
      </c>
      <c r="F3088" s="108">
        <v>770800000</v>
      </c>
      <c r="G3088" s="276">
        <f t="shared" si="185"/>
        <v>92.205618505342258</v>
      </c>
      <c r="H3088" s="276">
        <v>100</v>
      </c>
      <c r="I3088" s="111"/>
    </row>
    <row r="3089" spans="3:9" ht="16.5" hidden="1" customHeight="1" x14ac:dyDescent="0.25">
      <c r="C3089" s="109"/>
      <c r="D3089" s="275" t="s">
        <v>2414</v>
      </c>
      <c r="E3089" s="197">
        <v>1025460000</v>
      </c>
      <c r="F3089" s="108">
        <v>1005700000</v>
      </c>
      <c r="G3089" s="276">
        <f t="shared" si="185"/>
        <v>98.073059895071481</v>
      </c>
      <c r="H3089" s="276">
        <v>100</v>
      </c>
      <c r="I3089" s="111"/>
    </row>
    <row r="3090" spans="3:9" ht="16.5" hidden="1" customHeight="1" x14ac:dyDescent="0.25">
      <c r="C3090" s="109"/>
      <c r="D3090" s="275" t="s">
        <v>2415</v>
      </c>
      <c r="E3090" s="197">
        <v>90000000</v>
      </c>
      <c r="F3090" s="108">
        <v>0</v>
      </c>
      <c r="G3090" s="276">
        <f t="shared" si="185"/>
        <v>0</v>
      </c>
      <c r="H3090" s="276">
        <v>100</v>
      </c>
      <c r="I3090" s="111"/>
    </row>
    <row r="3091" spans="3:9" ht="16.5" hidden="1" customHeight="1" x14ac:dyDescent="0.25">
      <c r="C3091" s="109"/>
      <c r="D3091" s="275" t="s">
        <v>2416</v>
      </c>
      <c r="E3091" s="197">
        <v>887040000</v>
      </c>
      <c r="F3091" s="108">
        <v>887040000</v>
      </c>
      <c r="G3091" s="276">
        <f t="shared" si="185"/>
        <v>100</v>
      </c>
      <c r="H3091" s="276">
        <v>100</v>
      </c>
      <c r="I3091" s="111"/>
    </row>
    <row r="3092" spans="3:9" ht="16.5" hidden="1" customHeight="1" x14ac:dyDescent="0.25">
      <c r="C3092" s="109"/>
      <c r="D3092" s="275"/>
      <c r="E3092" s="116"/>
      <c r="F3092" s="108"/>
      <c r="G3092" s="117"/>
      <c r="H3092" s="117"/>
      <c r="I3092" s="111"/>
    </row>
    <row r="3093" spans="3:9" ht="16.5" hidden="1" customHeight="1" x14ac:dyDescent="0.25">
      <c r="C3093" s="109"/>
      <c r="D3093" s="274" t="s">
        <v>1707</v>
      </c>
      <c r="E3093" s="199">
        <v>475000000</v>
      </c>
      <c r="F3093" s="254">
        <f>SUM(F3094:F3096)</f>
        <v>298500000</v>
      </c>
      <c r="G3093" s="297">
        <f>(F3093/E3093)*100</f>
        <v>62.842105263157897</v>
      </c>
      <c r="H3093" s="297">
        <f>SUM(H3094:H3096)/3</f>
        <v>33.333333333333336</v>
      </c>
      <c r="I3093" s="111"/>
    </row>
    <row r="3094" spans="3:9" ht="44.25" hidden="1" customHeight="1" x14ac:dyDescent="0.25">
      <c r="C3094" s="109"/>
      <c r="D3094" s="275" t="s">
        <v>2417</v>
      </c>
      <c r="E3094" s="197">
        <v>300000000</v>
      </c>
      <c r="F3094" s="108">
        <v>298500000</v>
      </c>
      <c r="G3094" s="276">
        <f>(F3094/E3094)*100</f>
        <v>99.5</v>
      </c>
      <c r="H3094" s="276">
        <v>100</v>
      </c>
      <c r="I3094" s="111"/>
    </row>
    <row r="3095" spans="3:9" ht="44.25" hidden="1" customHeight="1" x14ac:dyDescent="0.25">
      <c r="C3095" s="109"/>
      <c r="D3095" s="275" t="s">
        <v>2418</v>
      </c>
      <c r="E3095" s="197">
        <v>75000000</v>
      </c>
      <c r="F3095" s="108">
        <v>0</v>
      </c>
      <c r="G3095" s="276">
        <f>(F3095/E3095)*100</f>
        <v>0</v>
      </c>
      <c r="H3095" s="276">
        <v>0</v>
      </c>
      <c r="I3095" s="111"/>
    </row>
    <row r="3096" spans="3:9" ht="44.25" hidden="1" customHeight="1" x14ac:dyDescent="0.25">
      <c r="C3096" s="109"/>
      <c r="D3096" s="275" t="s">
        <v>2419</v>
      </c>
      <c r="E3096" s="197">
        <v>100000000</v>
      </c>
      <c r="F3096" s="108">
        <v>0</v>
      </c>
      <c r="G3096" s="276">
        <f>(F3096/E3096)*100</f>
        <v>0</v>
      </c>
      <c r="H3096" s="276">
        <v>0</v>
      </c>
      <c r="I3096" s="111"/>
    </row>
    <row r="3097" spans="3:9" ht="16.5" hidden="1" customHeight="1" x14ac:dyDescent="0.25">
      <c r="C3097" s="109"/>
      <c r="D3097" s="275"/>
      <c r="E3097" s="116"/>
      <c r="F3097" s="108"/>
      <c r="G3097" s="117"/>
      <c r="H3097" s="117"/>
      <c r="I3097" s="111"/>
    </row>
    <row r="3098" spans="3:9" ht="16.5" hidden="1" customHeight="1" x14ac:dyDescent="0.25">
      <c r="C3098" s="109"/>
      <c r="D3098" s="274" t="s">
        <v>2420</v>
      </c>
      <c r="E3098" s="199">
        <v>1421700000</v>
      </c>
      <c r="F3098" s="254">
        <f>SUM(F3099:F3104)</f>
        <v>1421700000</v>
      </c>
      <c r="G3098" s="297">
        <f t="shared" ref="G3098:G3104" si="186">(F3098/E3098)*100</f>
        <v>100</v>
      </c>
      <c r="H3098" s="297">
        <f>SUM(H3099:H3104)/6</f>
        <v>100</v>
      </c>
      <c r="I3098" s="111"/>
    </row>
    <row r="3099" spans="3:9" ht="16.5" hidden="1" customHeight="1" x14ac:dyDescent="0.25">
      <c r="C3099" s="109"/>
      <c r="D3099" s="275" t="s">
        <v>2421</v>
      </c>
      <c r="E3099" s="197">
        <v>168000000</v>
      </c>
      <c r="F3099" s="108">
        <v>168000000</v>
      </c>
      <c r="G3099" s="276">
        <f t="shared" si="186"/>
        <v>100</v>
      </c>
      <c r="H3099" s="276">
        <v>100</v>
      </c>
      <c r="I3099" s="111"/>
    </row>
    <row r="3100" spans="3:9" ht="16.5" hidden="1" customHeight="1" x14ac:dyDescent="0.25">
      <c r="C3100" s="109"/>
      <c r="D3100" s="275" t="s">
        <v>2086</v>
      </c>
      <c r="E3100" s="197">
        <v>150000000</v>
      </c>
      <c r="F3100" s="108">
        <v>150000000</v>
      </c>
      <c r="G3100" s="276">
        <f t="shared" si="186"/>
        <v>100</v>
      </c>
      <c r="H3100" s="276">
        <v>100</v>
      </c>
      <c r="I3100" s="111"/>
    </row>
    <row r="3101" spans="3:9" ht="16.5" hidden="1" customHeight="1" x14ac:dyDescent="0.25">
      <c r="C3101" s="109"/>
      <c r="D3101" s="275" t="s">
        <v>2422</v>
      </c>
      <c r="E3101" s="197">
        <v>157500000</v>
      </c>
      <c r="F3101" s="108">
        <v>157500000</v>
      </c>
      <c r="G3101" s="276">
        <f t="shared" si="186"/>
        <v>100</v>
      </c>
      <c r="H3101" s="276">
        <v>100</v>
      </c>
      <c r="I3101" s="111"/>
    </row>
    <row r="3102" spans="3:9" ht="44.25" hidden="1" customHeight="1" x14ac:dyDescent="0.25">
      <c r="C3102" s="109"/>
      <c r="D3102" s="275" t="s">
        <v>2423</v>
      </c>
      <c r="E3102" s="197">
        <v>127200000</v>
      </c>
      <c r="F3102" s="108">
        <v>127200000</v>
      </c>
      <c r="G3102" s="276">
        <f t="shared" si="186"/>
        <v>100</v>
      </c>
      <c r="H3102" s="276">
        <v>100</v>
      </c>
      <c r="I3102" s="111"/>
    </row>
    <row r="3103" spans="3:9" ht="44.25" hidden="1" customHeight="1" x14ac:dyDescent="0.25">
      <c r="C3103" s="109"/>
      <c r="D3103" s="275" t="s">
        <v>2424</v>
      </c>
      <c r="E3103" s="197">
        <v>273000000</v>
      </c>
      <c r="F3103" s="108">
        <v>273000000</v>
      </c>
      <c r="G3103" s="276">
        <f t="shared" si="186"/>
        <v>100</v>
      </c>
      <c r="H3103" s="276">
        <v>100</v>
      </c>
      <c r="I3103" s="111"/>
    </row>
    <row r="3104" spans="3:9" ht="16.5" hidden="1" customHeight="1" x14ac:dyDescent="0.25">
      <c r="C3104" s="109"/>
      <c r="D3104" s="275" t="s">
        <v>2425</v>
      </c>
      <c r="E3104" s="197">
        <v>546000000</v>
      </c>
      <c r="F3104" s="108">
        <v>546000000</v>
      </c>
      <c r="G3104" s="276">
        <f t="shared" si="186"/>
        <v>100</v>
      </c>
      <c r="H3104" s="276">
        <v>100</v>
      </c>
      <c r="I3104" s="111"/>
    </row>
    <row r="3105" spans="3:9" ht="16.5" hidden="1" customHeight="1" x14ac:dyDescent="0.25">
      <c r="C3105" s="109"/>
      <c r="D3105" s="275"/>
      <c r="E3105" s="116"/>
      <c r="F3105" s="108"/>
      <c r="G3105" s="117"/>
      <c r="H3105" s="117"/>
      <c r="I3105" s="111"/>
    </row>
    <row r="3106" spans="3:9" ht="16.5" hidden="1" customHeight="1" x14ac:dyDescent="0.25">
      <c r="C3106" s="109"/>
      <c r="D3106" s="274" t="s">
        <v>2426</v>
      </c>
      <c r="E3106" s="199">
        <v>1900000000</v>
      </c>
      <c r="F3106" s="254">
        <f>SUM(F3107:F3110)</f>
        <v>1067562000</v>
      </c>
      <c r="G3106" s="297">
        <f>(F3106/E3106)*100</f>
        <v>56.187473684210531</v>
      </c>
      <c r="H3106" s="297">
        <f>SUM(H3107:H3110)/4</f>
        <v>75</v>
      </c>
      <c r="I3106" s="111"/>
    </row>
    <row r="3107" spans="3:9" ht="16.5" hidden="1" customHeight="1" x14ac:dyDescent="0.25">
      <c r="C3107" s="109"/>
      <c r="D3107" s="275" t="s">
        <v>2427</v>
      </c>
      <c r="E3107" s="197">
        <v>500000000</v>
      </c>
      <c r="F3107" s="108">
        <v>480000000</v>
      </c>
      <c r="G3107" s="276">
        <f>(F3107/E3107)*100</f>
        <v>96</v>
      </c>
      <c r="H3107" s="276">
        <v>100</v>
      </c>
      <c r="I3107" s="111"/>
    </row>
    <row r="3108" spans="3:9" ht="16.5" hidden="1" customHeight="1" x14ac:dyDescent="0.25">
      <c r="C3108" s="109"/>
      <c r="D3108" s="275" t="s">
        <v>2428</v>
      </c>
      <c r="E3108" s="197">
        <v>800000000</v>
      </c>
      <c r="F3108" s="108">
        <v>0</v>
      </c>
      <c r="G3108" s="276">
        <f>(F3108/E3108)*100</f>
        <v>0</v>
      </c>
      <c r="H3108" s="276">
        <v>0</v>
      </c>
      <c r="I3108" s="111"/>
    </row>
    <row r="3109" spans="3:9" ht="16.5" hidden="1" customHeight="1" x14ac:dyDescent="0.25">
      <c r="C3109" s="109"/>
      <c r="D3109" s="275" t="s">
        <v>2429</v>
      </c>
      <c r="E3109" s="197">
        <v>300000000</v>
      </c>
      <c r="F3109" s="108">
        <v>287562000</v>
      </c>
      <c r="G3109" s="276">
        <f>(F3109/E3109)*100</f>
        <v>95.853999999999999</v>
      </c>
      <c r="H3109" s="276">
        <v>100</v>
      </c>
      <c r="I3109" s="111"/>
    </row>
    <row r="3110" spans="3:9" ht="16.5" hidden="1" customHeight="1" x14ac:dyDescent="0.25">
      <c r="C3110" s="109"/>
      <c r="D3110" s="275" t="s">
        <v>2430</v>
      </c>
      <c r="E3110" s="197">
        <v>300000000</v>
      </c>
      <c r="F3110" s="108">
        <v>300000000</v>
      </c>
      <c r="G3110" s="276">
        <f>(F3110/E3110)*100</f>
        <v>100</v>
      </c>
      <c r="H3110" s="276">
        <v>100</v>
      </c>
      <c r="I3110" s="111"/>
    </row>
    <row r="3111" spans="3:9" ht="16.5" hidden="1" customHeight="1" x14ac:dyDescent="0.25">
      <c r="C3111" s="109"/>
      <c r="D3111" s="275"/>
      <c r="E3111" s="197"/>
      <c r="F3111" s="108"/>
      <c r="G3111" s="117"/>
      <c r="H3111" s="117"/>
      <c r="I3111" s="111"/>
    </row>
    <row r="3112" spans="3:9" ht="16.5" hidden="1" customHeight="1" x14ac:dyDescent="0.25">
      <c r="C3112" s="109"/>
      <c r="D3112" s="316" t="s">
        <v>1020</v>
      </c>
      <c r="E3112" s="485">
        <f>E3113+E3123+E3126+E3128+E3117+E3121</f>
        <v>8382250000</v>
      </c>
      <c r="F3112" s="254">
        <f>F3113+F3123+F3126+F3128+F3117+F3121</f>
        <v>7552750000</v>
      </c>
      <c r="G3112" s="297">
        <f t="shared" ref="G3112:G3134" si="187">(F3112/E3112)*100</f>
        <v>90.104088997584185</v>
      </c>
      <c r="H3112" s="297">
        <f>(H3113+H3117+H3121+H3123+H3126+H3128)/6</f>
        <v>63.888888888888893</v>
      </c>
      <c r="I3112" s="111"/>
    </row>
    <row r="3113" spans="3:9" ht="16.5" hidden="1" customHeight="1" x14ac:dyDescent="0.25">
      <c r="C3113" s="109"/>
      <c r="D3113" s="316" t="s">
        <v>2431</v>
      </c>
      <c r="E3113" s="485">
        <f>SUM(E3114:E3116)</f>
        <v>7575000000</v>
      </c>
      <c r="F3113" s="254">
        <f>SUM(F3114:F3116)</f>
        <v>7142500000</v>
      </c>
      <c r="G3113" s="297">
        <f t="shared" si="187"/>
        <v>94.290429042904293</v>
      </c>
      <c r="H3113" s="297">
        <f>SUM(H3114:H3116)/3</f>
        <v>100</v>
      </c>
      <c r="I3113" s="111"/>
    </row>
    <row r="3114" spans="3:9" ht="16.5" hidden="1" customHeight="1" x14ac:dyDescent="0.25">
      <c r="C3114" s="109"/>
      <c r="D3114" s="412" t="s">
        <v>2432</v>
      </c>
      <c r="E3114" s="486">
        <v>5400000000</v>
      </c>
      <c r="F3114" s="108">
        <v>5400000000</v>
      </c>
      <c r="G3114" s="276">
        <f t="shared" si="187"/>
        <v>100</v>
      </c>
      <c r="H3114" s="276">
        <v>100</v>
      </c>
      <c r="I3114" s="111"/>
    </row>
    <row r="3115" spans="3:9" ht="18.75" hidden="1" customHeight="1" x14ac:dyDescent="0.25">
      <c r="C3115" s="109"/>
      <c r="D3115" s="412" t="s">
        <v>2433</v>
      </c>
      <c r="E3115" s="486">
        <v>2100000000</v>
      </c>
      <c r="F3115" s="108">
        <v>1667500000</v>
      </c>
      <c r="G3115" s="276">
        <f t="shared" si="187"/>
        <v>79.404761904761898</v>
      </c>
      <c r="H3115" s="276">
        <v>100</v>
      </c>
      <c r="I3115" s="111"/>
    </row>
    <row r="3116" spans="3:9" ht="16.5" hidden="1" customHeight="1" x14ac:dyDescent="0.25">
      <c r="C3116" s="109"/>
      <c r="D3116" s="412" t="s">
        <v>2434</v>
      </c>
      <c r="E3116" s="486">
        <v>75000000</v>
      </c>
      <c r="F3116" s="108">
        <v>75000000</v>
      </c>
      <c r="G3116" s="276">
        <f t="shared" si="187"/>
        <v>100</v>
      </c>
      <c r="H3116" s="276">
        <v>100</v>
      </c>
      <c r="I3116" s="111"/>
    </row>
    <row r="3117" spans="3:9" ht="16.5" hidden="1" customHeight="1" x14ac:dyDescent="0.25">
      <c r="C3117" s="109"/>
      <c r="D3117" s="487" t="s">
        <v>166</v>
      </c>
      <c r="E3117" s="485">
        <f>SUM(E3118:E3120)</f>
        <v>225000000</v>
      </c>
      <c r="F3117" s="254">
        <f>SUM(F3118:F3120)</f>
        <v>125000000</v>
      </c>
      <c r="G3117" s="297">
        <f t="shared" si="187"/>
        <v>55.555555555555557</v>
      </c>
      <c r="H3117" s="297">
        <f>SUM(H3118:H3120)/3</f>
        <v>33.333333333333336</v>
      </c>
      <c r="I3117" s="111"/>
    </row>
    <row r="3118" spans="3:9" ht="16.5" hidden="1" customHeight="1" x14ac:dyDescent="0.25">
      <c r="C3118" s="109"/>
      <c r="D3118" s="488" t="s">
        <v>2435</v>
      </c>
      <c r="E3118" s="489">
        <v>50000000</v>
      </c>
      <c r="F3118" s="108">
        <v>0</v>
      </c>
      <c r="G3118" s="276">
        <f t="shared" si="187"/>
        <v>0</v>
      </c>
      <c r="H3118" s="276">
        <v>0</v>
      </c>
      <c r="I3118" s="111"/>
    </row>
    <row r="3119" spans="3:9" ht="16.5" hidden="1" customHeight="1" x14ac:dyDescent="0.25">
      <c r="C3119" s="109"/>
      <c r="D3119" s="412" t="s">
        <v>2436</v>
      </c>
      <c r="E3119" s="489">
        <v>50000000</v>
      </c>
      <c r="F3119" s="108">
        <v>0</v>
      </c>
      <c r="G3119" s="276">
        <f t="shared" si="187"/>
        <v>0</v>
      </c>
      <c r="H3119" s="276">
        <v>0</v>
      </c>
      <c r="I3119" s="111"/>
    </row>
    <row r="3120" spans="3:9" ht="16.5" hidden="1" customHeight="1" x14ac:dyDescent="0.25">
      <c r="C3120" s="109"/>
      <c r="D3120" s="412" t="s">
        <v>2437</v>
      </c>
      <c r="E3120" s="489">
        <v>125000000</v>
      </c>
      <c r="F3120" s="108">
        <v>125000000</v>
      </c>
      <c r="G3120" s="276">
        <f t="shared" si="187"/>
        <v>100</v>
      </c>
      <c r="H3120" s="276">
        <v>100</v>
      </c>
      <c r="I3120" s="111"/>
    </row>
    <row r="3121" spans="3:9" ht="16.5" hidden="1" customHeight="1" x14ac:dyDescent="0.25">
      <c r="C3121" s="109"/>
      <c r="D3121" s="316" t="s">
        <v>168</v>
      </c>
      <c r="E3121" s="485">
        <f>SUM(E3122)</f>
        <v>50000000</v>
      </c>
      <c r="F3121" s="254">
        <f>SUM(F3122)</f>
        <v>0</v>
      </c>
      <c r="G3121" s="297">
        <f t="shared" si="187"/>
        <v>0</v>
      </c>
      <c r="H3121" s="297">
        <f>SUM(H3122)/1</f>
        <v>0</v>
      </c>
      <c r="I3121" s="111"/>
    </row>
    <row r="3122" spans="3:9" ht="16.5" hidden="1" customHeight="1" x14ac:dyDescent="0.25">
      <c r="C3122" s="109"/>
      <c r="D3122" s="412" t="s">
        <v>2438</v>
      </c>
      <c r="E3122" s="490">
        <v>50000000</v>
      </c>
      <c r="F3122" s="108">
        <v>0</v>
      </c>
      <c r="G3122" s="276">
        <f t="shared" si="187"/>
        <v>0</v>
      </c>
      <c r="H3122" s="276">
        <v>0</v>
      </c>
      <c r="I3122" s="111"/>
    </row>
    <row r="3123" spans="3:9" ht="16.5" hidden="1" customHeight="1" x14ac:dyDescent="0.25">
      <c r="C3123" s="109"/>
      <c r="D3123" s="316" t="s">
        <v>175</v>
      </c>
      <c r="E3123" s="485">
        <f>SUM(E3124:E3125)</f>
        <v>97000000</v>
      </c>
      <c r="F3123" s="254">
        <f>SUM(F3124:F3125)</f>
        <v>50000000</v>
      </c>
      <c r="G3123" s="297">
        <f t="shared" si="187"/>
        <v>51.546391752577314</v>
      </c>
      <c r="H3123" s="297">
        <f>SUM(H3124:H3125)/2</f>
        <v>50</v>
      </c>
      <c r="I3123" s="111"/>
    </row>
    <row r="3124" spans="3:9" ht="16.5" hidden="1" customHeight="1" x14ac:dyDescent="0.25">
      <c r="C3124" s="109"/>
      <c r="D3124" s="412" t="s">
        <v>2439</v>
      </c>
      <c r="E3124" s="491">
        <v>50000000</v>
      </c>
      <c r="F3124" s="108">
        <v>50000000</v>
      </c>
      <c r="G3124" s="276">
        <f t="shared" si="187"/>
        <v>100</v>
      </c>
      <c r="H3124" s="276">
        <v>100</v>
      </c>
      <c r="I3124" s="111"/>
    </row>
    <row r="3125" spans="3:9" ht="16.5" hidden="1" customHeight="1" x14ac:dyDescent="0.25">
      <c r="C3125" s="109"/>
      <c r="D3125" s="412" t="s">
        <v>2440</v>
      </c>
      <c r="E3125" s="492">
        <v>47000000</v>
      </c>
      <c r="F3125" s="108">
        <v>0</v>
      </c>
      <c r="G3125" s="276">
        <f t="shared" si="187"/>
        <v>0</v>
      </c>
      <c r="H3125" s="276">
        <v>0</v>
      </c>
      <c r="I3125" s="111"/>
    </row>
    <row r="3126" spans="3:9" ht="16.5" hidden="1" customHeight="1" x14ac:dyDescent="0.25">
      <c r="C3126" s="109"/>
      <c r="D3126" s="316" t="s">
        <v>177</v>
      </c>
      <c r="E3126" s="485">
        <f>SUM(E3127)</f>
        <v>100000000</v>
      </c>
      <c r="F3126" s="254">
        <f>SUM(F3127)</f>
        <v>100000000</v>
      </c>
      <c r="G3126" s="297">
        <f t="shared" si="187"/>
        <v>100</v>
      </c>
      <c r="H3126" s="297">
        <f>SUM(H3127)</f>
        <v>100</v>
      </c>
      <c r="I3126" s="111"/>
    </row>
    <row r="3127" spans="3:9" ht="16.5" hidden="1" customHeight="1" x14ac:dyDescent="0.25">
      <c r="C3127" s="109"/>
      <c r="D3127" s="412" t="s">
        <v>2441</v>
      </c>
      <c r="E3127" s="493">
        <v>100000000</v>
      </c>
      <c r="F3127" s="108">
        <v>100000000</v>
      </c>
      <c r="G3127" s="276">
        <f t="shared" si="187"/>
        <v>100</v>
      </c>
      <c r="H3127" s="276">
        <v>100</v>
      </c>
      <c r="I3127" s="111"/>
    </row>
    <row r="3128" spans="3:9" ht="16.5" hidden="1" customHeight="1" x14ac:dyDescent="0.25">
      <c r="C3128" s="109"/>
      <c r="D3128" s="316" t="s">
        <v>182</v>
      </c>
      <c r="E3128" s="485">
        <f>SUM(E3129:E3134)</f>
        <v>335250000</v>
      </c>
      <c r="F3128" s="254">
        <f>SUM(F3129:F3134)</f>
        <v>135250000</v>
      </c>
      <c r="G3128" s="297">
        <f t="shared" si="187"/>
        <v>40.343027591349738</v>
      </c>
      <c r="H3128" s="297">
        <f>SUM(H3129:H3130)/2</f>
        <v>100</v>
      </c>
      <c r="I3128" s="111"/>
    </row>
    <row r="3129" spans="3:9" ht="16.5" hidden="1" customHeight="1" x14ac:dyDescent="0.25">
      <c r="C3129" s="109"/>
      <c r="D3129" s="412" t="s">
        <v>2442</v>
      </c>
      <c r="E3129" s="494">
        <v>50000000</v>
      </c>
      <c r="F3129" s="108">
        <v>50000000</v>
      </c>
      <c r="G3129" s="276">
        <f t="shared" si="187"/>
        <v>100</v>
      </c>
      <c r="H3129" s="276">
        <v>100</v>
      </c>
      <c r="I3129" s="111"/>
    </row>
    <row r="3130" spans="3:9" ht="16.5" hidden="1" customHeight="1" x14ac:dyDescent="0.25">
      <c r="C3130" s="109"/>
      <c r="D3130" s="412" t="s">
        <v>2443</v>
      </c>
      <c r="E3130" s="495">
        <v>85250000</v>
      </c>
      <c r="F3130" s="108">
        <v>85250000</v>
      </c>
      <c r="G3130" s="276">
        <f t="shared" si="187"/>
        <v>100</v>
      </c>
      <c r="H3130" s="276">
        <v>100</v>
      </c>
      <c r="I3130" s="111"/>
    </row>
    <row r="3131" spans="3:9" ht="16.5" hidden="1" customHeight="1" x14ac:dyDescent="0.25">
      <c r="C3131" s="109"/>
      <c r="D3131" s="412" t="s">
        <v>2444</v>
      </c>
      <c r="E3131" s="496">
        <v>50000000</v>
      </c>
      <c r="F3131" s="108">
        <v>0</v>
      </c>
      <c r="G3131" s="276">
        <f t="shared" si="187"/>
        <v>0</v>
      </c>
      <c r="H3131" s="276">
        <v>0</v>
      </c>
      <c r="I3131" s="111"/>
    </row>
    <row r="3132" spans="3:9" ht="16.5" hidden="1" customHeight="1" x14ac:dyDescent="0.25">
      <c r="C3132" s="109"/>
      <c r="D3132" s="412" t="s">
        <v>2445</v>
      </c>
      <c r="E3132" s="497">
        <v>50000000</v>
      </c>
      <c r="F3132" s="108">
        <v>0</v>
      </c>
      <c r="G3132" s="276">
        <f t="shared" si="187"/>
        <v>0</v>
      </c>
      <c r="H3132" s="276">
        <v>0</v>
      </c>
      <c r="I3132" s="111"/>
    </row>
    <row r="3133" spans="3:9" ht="16.5" hidden="1" customHeight="1" x14ac:dyDescent="0.25">
      <c r="C3133" s="109"/>
      <c r="D3133" s="412" t="s">
        <v>2446</v>
      </c>
      <c r="E3133" s="498">
        <v>50000000</v>
      </c>
      <c r="F3133" s="108">
        <v>0</v>
      </c>
      <c r="G3133" s="276">
        <f t="shared" si="187"/>
        <v>0</v>
      </c>
      <c r="H3133" s="276">
        <v>0</v>
      </c>
      <c r="I3133" s="111"/>
    </row>
    <row r="3134" spans="3:9" ht="16.5" hidden="1" customHeight="1" x14ac:dyDescent="0.25">
      <c r="C3134" s="109"/>
      <c r="D3134" s="412" t="s">
        <v>2447</v>
      </c>
      <c r="E3134" s="499">
        <v>50000000</v>
      </c>
      <c r="F3134" s="108">
        <v>0</v>
      </c>
      <c r="G3134" s="276">
        <f t="shared" si="187"/>
        <v>0</v>
      </c>
      <c r="H3134" s="276">
        <v>0</v>
      </c>
      <c r="I3134" s="111"/>
    </row>
    <row r="3135" spans="3:9" ht="16.5" hidden="1" customHeight="1" x14ac:dyDescent="0.25">
      <c r="C3135" s="109"/>
      <c r="D3135" s="412"/>
      <c r="E3135" s="474"/>
      <c r="F3135" s="253"/>
      <c r="G3135" s="276"/>
      <c r="H3135" s="276"/>
      <c r="I3135" s="111"/>
    </row>
    <row r="3136" spans="3:9" ht="16.5" hidden="1" customHeight="1" x14ac:dyDescent="0.25">
      <c r="C3136" s="109"/>
      <c r="D3136" s="316" t="s">
        <v>2448</v>
      </c>
      <c r="E3136" s="485">
        <f>E3137+E3141</f>
        <v>8221924100</v>
      </c>
      <c r="F3136" s="254">
        <f>F3137+F3141</f>
        <v>8078509124</v>
      </c>
      <c r="G3136" s="297">
        <f t="shared" ref="G3136:G3145" si="188">(F3136/E3136)*100</f>
        <v>98.25570056040776</v>
      </c>
      <c r="H3136" s="297">
        <f>(H3137+H3141)/2</f>
        <v>100</v>
      </c>
      <c r="I3136" s="111"/>
    </row>
    <row r="3137" spans="3:9" ht="16.5" hidden="1" customHeight="1" x14ac:dyDescent="0.25">
      <c r="C3137" s="109"/>
      <c r="D3137" s="316" t="s">
        <v>156</v>
      </c>
      <c r="E3137" s="485">
        <f>SUM(E3138:E3140)</f>
        <v>2136924100</v>
      </c>
      <c r="F3137" s="254">
        <f>SUM(F3138:F3140)</f>
        <v>2000083124</v>
      </c>
      <c r="G3137" s="297">
        <f t="shared" si="188"/>
        <v>93.59635768064949</v>
      </c>
      <c r="H3137" s="297">
        <f>SUM(H3138:H3140)/3</f>
        <v>100</v>
      </c>
      <c r="I3137" s="111"/>
    </row>
    <row r="3138" spans="3:9" ht="16.5" hidden="1" customHeight="1" x14ac:dyDescent="0.25">
      <c r="C3138" s="109"/>
      <c r="D3138" s="412" t="s">
        <v>2449</v>
      </c>
      <c r="E3138" s="500">
        <v>350000000</v>
      </c>
      <c r="F3138" s="108">
        <v>346500000</v>
      </c>
      <c r="G3138" s="276">
        <f t="shared" si="188"/>
        <v>99</v>
      </c>
      <c r="H3138" s="276">
        <v>100</v>
      </c>
      <c r="I3138" s="111"/>
    </row>
    <row r="3139" spans="3:9" ht="16.5" hidden="1" customHeight="1" x14ac:dyDescent="0.25">
      <c r="C3139" s="109"/>
      <c r="D3139" s="412" t="s">
        <v>2450</v>
      </c>
      <c r="E3139" s="500">
        <v>204924100</v>
      </c>
      <c r="F3139" s="108">
        <v>198880000</v>
      </c>
      <c r="G3139" s="276">
        <f t="shared" si="188"/>
        <v>97.050566526826273</v>
      </c>
      <c r="H3139" s="276">
        <v>100</v>
      </c>
      <c r="I3139" s="111"/>
    </row>
    <row r="3140" spans="3:9" ht="16.5" hidden="1" customHeight="1" x14ac:dyDescent="0.25">
      <c r="C3140" s="109"/>
      <c r="D3140" s="412" t="s">
        <v>2451</v>
      </c>
      <c r="E3140" s="500">
        <v>1582000000</v>
      </c>
      <c r="F3140" s="108">
        <v>1454703124</v>
      </c>
      <c r="G3140" s="276">
        <f t="shared" si="188"/>
        <v>91.953421238938049</v>
      </c>
      <c r="H3140" s="276">
        <v>100</v>
      </c>
      <c r="I3140" s="111"/>
    </row>
    <row r="3141" spans="3:9" ht="16.5" hidden="1" customHeight="1" x14ac:dyDescent="0.25">
      <c r="C3141" s="109"/>
      <c r="D3141" s="316" t="s">
        <v>166</v>
      </c>
      <c r="E3141" s="485">
        <f>SUM(E3142:E3145)</f>
        <v>6085000000</v>
      </c>
      <c r="F3141" s="254">
        <f>SUM(F3142:F3145)</f>
        <v>6078426000</v>
      </c>
      <c r="G3141" s="297">
        <f t="shared" si="188"/>
        <v>99.891963845521772</v>
      </c>
      <c r="H3141" s="297">
        <f>SUM(H3142:H3145)/4</f>
        <v>100</v>
      </c>
      <c r="I3141" s="111"/>
    </row>
    <row r="3142" spans="3:9" ht="16.5" hidden="1" customHeight="1" x14ac:dyDescent="0.25">
      <c r="C3142" s="109"/>
      <c r="D3142" s="412" t="s">
        <v>1229</v>
      </c>
      <c r="E3142" s="501">
        <v>1460700000</v>
      </c>
      <c r="F3142" s="108">
        <v>1454126000</v>
      </c>
      <c r="G3142" s="276">
        <f t="shared" si="188"/>
        <v>99.54994180872184</v>
      </c>
      <c r="H3142" s="276">
        <v>100</v>
      </c>
      <c r="I3142" s="111"/>
    </row>
    <row r="3143" spans="3:9" ht="16.5" hidden="1" customHeight="1" x14ac:dyDescent="0.25">
      <c r="C3143" s="109"/>
      <c r="D3143" s="412" t="s">
        <v>2452</v>
      </c>
      <c r="E3143" s="501">
        <v>84000000</v>
      </c>
      <c r="F3143" s="108">
        <v>84000000</v>
      </c>
      <c r="G3143" s="276">
        <f t="shared" si="188"/>
        <v>100</v>
      </c>
      <c r="H3143" s="276">
        <v>100</v>
      </c>
      <c r="I3143" s="111"/>
    </row>
    <row r="3144" spans="3:9" ht="16.5" hidden="1" customHeight="1" x14ac:dyDescent="0.25">
      <c r="C3144" s="109"/>
      <c r="D3144" s="412" t="s">
        <v>2453</v>
      </c>
      <c r="E3144" s="501">
        <v>84000000</v>
      </c>
      <c r="F3144" s="108">
        <v>84000000</v>
      </c>
      <c r="G3144" s="276">
        <f t="shared" si="188"/>
        <v>100</v>
      </c>
      <c r="H3144" s="276">
        <v>100</v>
      </c>
      <c r="I3144" s="111"/>
    </row>
    <row r="3145" spans="3:9" ht="16.5" hidden="1" customHeight="1" x14ac:dyDescent="0.25">
      <c r="C3145" s="109"/>
      <c r="D3145" s="412" t="s">
        <v>2454</v>
      </c>
      <c r="E3145" s="501">
        <v>4456300000</v>
      </c>
      <c r="F3145" s="108">
        <v>4456300000</v>
      </c>
      <c r="G3145" s="276">
        <f t="shared" si="188"/>
        <v>100</v>
      </c>
      <c r="H3145" s="276">
        <v>100</v>
      </c>
      <c r="I3145" s="111"/>
    </row>
    <row r="3146" spans="3:9" ht="16.5" hidden="1" customHeight="1" x14ac:dyDescent="0.25">
      <c r="C3146" s="109"/>
      <c r="D3146" s="275"/>
      <c r="E3146" s="197"/>
      <c r="F3146" s="108"/>
      <c r="G3146" s="117"/>
      <c r="H3146" s="117"/>
      <c r="I3146" s="111"/>
    </row>
    <row r="3147" spans="3:9" ht="16.5" hidden="1" customHeight="1" x14ac:dyDescent="0.25">
      <c r="C3147" s="109"/>
      <c r="D3147" s="274" t="s">
        <v>1127</v>
      </c>
      <c r="E3147" s="199">
        <v>10000000000</v>
      </c>
      <c r="F3147" s="254">
        <f>F3148</f>
        <v>9799354800</v>
      </c>
      <c r="G3147" s="297">
        <f t="shared" ref="G3147:G3160" si="189">(F3147/E3147)*100</f>
        <v>97.993548000000004</v>
      </c>
      <c r="H3147" s="297">
        <f>H3148</f>
        <v>100</v>
      </c>
      <c r="I3147" s="111"/>
    </row>
    <row r="3148" spans="3:9" ht="16.5" hidden="1" customHeight="1" x14ac:dyDescent="0.25">
      <c r="C3148" s="109"/>
      <c r="D3148" s="274" t="s">
        <v>2455</v>
      </c>
      <c r="E3148" s="199">
        <v>10000000000</v>
      </c>
      <c r="F3148" s="254">
        <f>SUM(F3149:F3160)</f>
        <v>9799354800</v>
      </c>
      <c r="G3148" s="297">
        <f t="shared" si="189"/>
        <v>97.993548000000004</v>
      </c>
      <c r="H3148" s="297">
        <f>SUM(H3149:H3160)/12</f>
        <v>100</v>
      </c>
      <c r="I3148" s="111"/>
    </row>
    <row r="3149" spans="3:9" ht="16.5" hidden="1" customHeight="1" x14ac:dyDescent="0.25">
      <c r="C3149" s="109"/>
      <c r="D3149" s="275" t="s">
        <v>2456</v>
      </c>
      <c r="E3149" s="197">
        <v>1200000000</v>
      </c>
      <c r="F3149" s="108">
        <v>1194800000</v>
      </c>
      <c r="G3149" s="276">
        <f t="shared" si="189"/>
        <v>99.566666666666663</v>
      </c>
      <c r="H3149" s="276">
        <v>100</v>
      </c>
      <c r="I3149" s="111"/>
    </row>
    <row r="3150" spans="3:9" ht="16.5" hidden="1" customHeight="1" x14ac:dyDescent="0.25">
      <c r="C3150" s="109"/>
      <c r="D3150" s="275" t="s">
        <v>2457</v>
      </c>
      <c r="E3150" s="197">
        <v>600000000</v>
      </c>
      <c r="F3150" s="108">
        <v>591000000</v>
      </c>
      <c r="G3150" s="276">
        <f t="shared" si="189"/>
        <v>98.5</v>
      </c>
      <c r="H3150" s="276">
        <v>100</v>
      </c>
      <c r="I3150" s="111"/>
    </row>
    <row r="3151" spans="3:9" ht="16.5" hidden="1" customHeight="1" x14ac:dyDescent="0.25">
      <c r="C3151" s="109"/>
      <c r="D3151" s="275" t="s">
        <v>2458</v>
      </c>
      <c r="E3151" s="197">
        <v>900000000</v>
      </c>
      <c r="F3151" s="108">
        <v>892900000</v>
      </c>
      <c r="G3151" s="276">
        <f t="shared" si="189"/>
        <v>99.211111111111123</v>
      </c>
      <c r="H3151" s="276">
        <v>100</v>
      </c>
      <c r="I3151" s="111"/>
    </row>
    <row r="3152" spans="3:9" ht="16.5" hidden="1" customHeight="1" x14ac:dyDescent="0.25">
      <c r="C3152" s="109"/>
      <c r="D3152" s="275" t="s">
        <v>2459</v>
      </c>
      <c r="E3152" s="197">
        <v>1000000000</v>
      </c>
      <c r="F3152" s="108">
        <v>971150000</v>
      </c>
      <c r="G3152" s="276">
        <f t="shared" si="189"/>
        <v>97.114999999999995</v>
      </c>
      <c r="H3152" s="276">
        <v>100</v>
      </c>
      <c r="I3152" s="111"/>
    </row>
    <row r="3153" spans="3:9" ht="16.5" hidden="1" customHeight="1" x14ac:dyDescent="0.25">
      <c r="C3153" s="109"/>
      <c r="D3153" s="275" t="s">
        <v>2460</v>
      </c>
      <c r="E3153" s="197">
        <v>1000000000</v>
      </c>
      <c r="F3153" s="108">
        <v>939804800</v>
      </c>
      <c r="G3153" s="276">
        <f t="shared" si="189"/>
        <v>93.98048</v>
      </c>
      <c r="H3153" s="276">
        <v>100</v>
      </c>
      <c r="I3153" s="111"/>
    </row>
    <row r="3154" spans="3:9" ht="16.5" hidden="1" customHeight="1" x14ac:dyDescent="0.25">
      <c r="C3154" s="109"/>
      <c r="D3154" s="275" t="s">
        <v>2461</v>
      </c>
      <c r="E3154" s="197">
        <v>800000000</v>
      </c>
      <c r="F3154" s="108">
        <v>794700000</v>
      </c>
      <c r="G3154" s="276">
        <f t="shared" si="189"/>
        <v>99.337500000000006</v>
      </c>
      <c r="H3154" s="276">
        <v>100</v>
      </c>
      <c r="I3154" s="111"/>
    </row>
    <row r="3155" spans="3:9" ht="16.5" hidden="1" customHeight="1" x14ac:dyDescent="0.25">
      <c r="C3155" s="109"/>
      <c r="D3155" s="275" t="s">
        <v>2462</v>
      </c>
      <c r="E3155" s="197">
        <v>1100000000</v>
      </c>
      <c r="F3155" s="108">
        <v>1088100000</v>
      </c>
      <c r="G3155" s="276">
        <f t="shared" si="189"/>
        <v>98.918181818181822</v>
      </c>
      <c r="H3155" s="276">
        <v>100</v>
      </c>
      <c r="I3155" s="111"/>
    </row>
    <row r="3156" spans="3:9" ht="16.5" hidden="1" customHeight="1" x14ac:dyDescent="0.25">
      <c r="C3156" s="109"/>
      <c r="D3156" s="275" t="s">
        <v>2463</v>
      </c>
      <c r="E3156" s="197">
        <v>800000000</v>
      </c>
      <c r="F3156" s="108">
        <v>793200000</v>
      </c>
      <c r="G3156" s="276">
        <f t="shared" si="189"/>
        <v>99.15</v>
      </c>
      <c r="H3156" s="276">
        <v>100</v>
      </c>
      <c r="I3156" s="111"/>
    </row>
    <row r="3157" spans="3:9" ht="16.5" hidden="1" customHeight="1" x14ac:dyDescent="0.25">
      <c r="C3157" s="109"/>
      <c r="D3157" s="275" t="s">
        <v>2464</v>
      </c>
      <c r="E3157" s="197">
        <v>600000000</v>
      </c>
      <c r="F3157" s="108">
        <v>594300000</v>
      </c>
      <c r="G3157" s="276">
        <f t="shared" si="189"/>
        <v>99.050000000000011</v>
      </c>
      <c r="H3157" s="276">
        <v>100</v>
      </c>
      <c r="I3157" s="111"/>
    </row>
    <row r="3158" spans="3:9" ht="18.75" hidden="1" customHeight="1" x14ac:dyDescent="0.25">
      <c r="C3158" s="109"/>
      <c r="D3158" s="275" t="s">
        <v>2465</v>
      </c>
      <c r="E3158" s="197">
        <v>800000000</v>
      </c>
      <c r="F3158" s="108">
        <v>782540000</v>
      </c>
      <c r="G3158" s="276">
        <f t="shared" si="189"/>
        <v>97.817499999999995</v>
      </c>
      <c r="H3158" s="276">
        <v>100</v>
      </c>
      <c r="I3158" s="111"/>
    </row>
    <row r="3159" spans="3:9" ht="18.75" hidden="1" customHeight="1" x14ac:dyDescent="0.25">
      <c r="C3159" s="109"/>
      <c r="D3159" s="275" t="s">
        <v>2466</v>
      </c>
      <c r="E3159" s="197">
        <v>500000000</v>
      </c>
      <c r="F3159" s="108">
        <v>495800000</v>
      </c>
      <c r="G3159" s="276">
        <f t="shared" si="189"/>
        <v>99.16</v>
      </c>
      <c r="H3159" s="276">
        <v>100</v>
      </c>
      <c r="I3159" s="111"/>
    </row>
    <row r="3160" spans="3:9" ht="18.75" hidden="1" customHeight="1" x14ac:dyDescent="0.25">
      <c r="C3160" s="109"/>
      <c r="D3160" s="275" t="s">
        <v>2467</v>
      </c>
      <c r="E3160" s="197">
        <v>700000000</v>
      </c>
      <c r="F3160" s="108">
        <v>661060000</v>
      </c>
      <c r="G3160" s="276">
        <f t="shared" si="189"/>
        <v>94.437142857142859</v>
      </c>
      <c r="H3160" s="276">
        <v>100</v>
      </c>
      <c r="I3160" s="111"/>
    </row>
    <row r="3161" spans="3:9" ht="16.5" hidden="1" customHeight="1" x14ac:dyDescent="0.25">
      <c r="C3161" s="109"/>
      <c r="D3161" s="275"/>
      <c r="E3161" s="197"/>
      <c r="F3161" s="108"/>
      <c r="G3161" s="117"/>
      <c r="H3161" s="117"/>
      <c r="I3161" s="111"/>
    </row>
    <row r="3162" spans="3:9" ht="16.5" hidden="1" customHeight="1" x14ac:dyDescent="0.25">
      <c r="C3162" s="109"/>
      <c r="D3162" s="274" t="s">
        <v>2468</v>
      </c>
      <c r="E3162" s="199">
        <v>2500000000</v>
      </c>
      <c r="F3162" s="254">
        <f>F3163</f>
        <v>2489400000</v>
      </c>
      <c r="G3162" s="297">
        <f>(F3162/E3162)*100</f>
        <v>99.575999999999993</v>
      </c>
      <c r="H3162" s="297">
        <f>H3163</f>
        <v>100</v>
      </c>
      <c r="I3162" s="111"/>
    </row>
    <row r="3163" spans="3:9" ht="16.5" hidden="1" customHeight="1" x14ac:dyDescent="0.25">
      <c r="C3163" s="109"/>
      <c r="D3163" s="274" t="s">
        <v>729</v>
      </c>
      <c r="E3163" s="199">
        <v>2500000000</v>
      </c>
      <c r="F3163" s="254">
        <f>SUM(F3164)</f>
        <v>2489400000</v>
      </c>
      <c r="G3163" s="297">
        <f>(F3163/E3163)*100</f>
        <v>99.575999999999993</v>
      </c>
      <c r="H3163" s="297">
        <f>SUM(H3164)</f>
        <v>100</v>
      </c>
      <c r="I3163" s="111"/>
    </row>
    <row r="3164" spans="3:9" ht="16.5" hidden="1" customHeight="1" x14ac:dyDescent="0.25">
      <c r="C3164" s="109"/>
      <c r="D3164" s="275" t="s">
        <v>862</v>
      </c>
      <c r="E3164" s="197">
        <v>2500000000</v>
      </c>
      <c r="F3164" s="108">
        <v>2489400000</v>
      </c>
      <c r="G3164" s="276">
        <f>(F3164/E3164)*100</f>
        <v>99.575999999999993</v>
      </c>
      <c r="H3164" s="276">
        <v>100</v>
      </c>
      <c r="I3164" s="111"/>
    </row>
    <row r="3165" spans="3:9" ht="16.5" hidden="1" customHeight="1" x14ac:dyDescent="0.25">
      <c r="C3165" s="109"/>
      <c r="D3165" s="275"/>
      <c r="E3165" s="197"/>
      <c r="F3165" s="108"/>
      <c r="G3165" s="117"/>
      <c r="H3165" s="117"/>
      <c r="I3165" s="111"/>
    </row>
    <row r="3166" spans="3:9" s="115" customFormat="1" ht="16.5" hidden="1" customHeight="1" x14ac:dyDescent="0.25">
      <c r="C3166" s="159"/>
      <c r="D3166" s="274" t="s">
        <v>1111</v>
      </c>
      <c r="E3166" s="199">
        <v>4438489880</v>
      </c>
      <c r="F3166" s="254">
        <f>F3167+F3169</f>
        <v>4436200000</v>
      </c>
      <c r="G3166" s="297">
        <f t="shared" ref="G3166:G3176" si="190">(F3166/E3166)*100</f>
        <v>99.948408579000741</v>
      </c>
      <c r="H3166" s="297">
        <f>(H3167+H3169)/2</f>
        <v>100</v>
      </c>
      <c r="I3166" s="121"/>
    </row>
    <row r="3167" spans="3:9" ht="28.5" hidden="1" customHeight="1" x14ac:dyDescent="0.25">
      <c r="C3167" s="109"/>
      <c r="D3167" s="274" t="s">
        <v>259</v>
      </c>
      <c r="E3167" s="199">
        <v>1453889880</v>
      </c>
      <c r="F3167" s="254">
        <f>SUM(F3168)</f>
        <v>1451600000</v>
      </c>
      <c r="G3167" s="297">
        <f t="shared" si="190"/>
        <v>99.842499763462143</v>
      </c>
      <c r="H3167" s="297">
        <f>SUM(H3168)</f>
        <v>100</v>
      </c>
      <c r="I3167" s="111"/>
    </row>
    <row r="3168" spans="3:9" ht="29.25" hidden="1" customHeight="1" x14ac:dyDescent="0.25">
      <c r="C3168" s="109"/>
      <c r="D3168" s="275" t="s">
        <v>2469</v>
      </c>
      <c r="E3168" s="197">
        <v>1453889880</v>
      </c>
      <c r="F3168" s="108">
        <v>1451600000</v>
      </c>
      <c r="G3168" s="276">
        <f t="shared" si="190"/>
        <v>99.842499763462143</v>
      </c>
      <c r="H3168" s="276">
        <v>100</v>
      </c>
      <c r="I3168" s="111"/>
    </row>
    <row r="3169" spans="3:9" ht="16.5" hidden="1" customHeight="1" x14ac:dyDescent="0.25">
      <c r="C3169" s="109"/>
      <c r="D3169" s="274" t="s">
        <v>2470</v>
      </c>
      <c r="E3169" s="199">
        <f>SUM(E3170:E3176)</f>
        <v>2984600000</v>
      </c>
      <c r="F3169" s="254">
        <f>SUM(F3170:F3177)</f>
        <v>2984600000</v>
      </c>
      <c r="G3169" s="297">
        <f t="shared" si="190"/>
        <v>100</v>
      </c>
      <c r="H3169" s="297">
        <f>SUM(H3170:H3177)/7</f>
        <v>100</v>
      </c>
      <c r="I3169" s="111"/>
    </row>
    <row r="3170" spans="3:9" ht="16.5" hidden="1" customHeight="1" x14ac:dyDescent="0.25">
      <c r="C3170" s="109"/>
      <c r="D3170" s="275" t="s">
        <v>2471</v>
      </c>
      <c r="E3170" s="197">
        <v>125000000</v>
      </c>
      <c r="F3170" s="108">
        <v>125000000</v>
      </c>
      <c r="G3170" s="276">
        <f t="shared" si="190"/>
        <v>100</v>
      </c>
      <c r="H3170" s="276">
        <v>100</v>
      </c>
      <c r="I3170" s="111"/>
    </row>
    <row r="3171" spans="3:9" ht="16.5" hidden="1" customHeight="1" x14ac:dyDescent="0.25">
      <c r="C3171" s="109"/>
      <c r="D3171" s="275" t="s">
        <v>2472</v>
      </c>
      <c r="E3171" s="197">
        <v>150000000</v>
      </c>
      <c r="F3171" s="108">
        <v>150000000</v>
      </c>
      <c r="G3171" s="276">
        <f t="shared" si="190"/>
        <v>100</v>
      </c>
      <c r="H3171" s="276">
        <v>100</v>
      </c>
      <c r="I3171" s="111"/>
    </row>
    <row r="3172" spans="3:9" ht="16.5" hidden="1" customHeight="1" x14ac:dyDescent="0.25">
      <c r="C3172" s="109"/>
      <c r="D3172" s="275" t="s">
        <v>2473</v>
      </c>
      <c r="E3172" s="197">
        <v>150000000</v>
      </c>
      <c r="F3172" s="108">
        <v>150000000</v>
      </c>
      <c r="G3172" s="276">
        <f t="shared" si="190"/>
        <v>100</v>
      </c>
      <c r="H3172" s="276">
        <v>100</v>
      </c>
      <c r="I3172" s="111"/>
    </row>
    <row r="3173" spans="3:9" ht="16.5" hidden="1" customHeight="1" x14ac:dyDescent="0.25">
      <c r="C3173" s="109"/>
      <c r="D3173" s="275" t="s">
        <v>2474</v>
      </c>
      <c r="E3173" s="197">
        <v>160184000</v>
      </c>
      <c r="F3173" s="108">
        <v>160184000</v>
      </c>
      <c r="G3173" s="276">
        <f t="shared" si="190"/>
        <v>100</v>
      </c>
      <c r="H3173" s="276">
        <v>100</v>
      </c>
      <c r="I3173" s="111"/>
    </row>
    <row r="3174" spans="3:9" ht="16.5" hidden="1" customHeight="1" x14ac:dyDescent="0.25">
      <c r="C3174" s="109"/>
      <c r="D3174" s="275" t="s">
        <v>2475</v>
      </c>
      <c r="E3174" s="107">
        <v>1650816000</v>
      </c>
      <c r="F3174" s="108">
        <v>1650816000</v>
      </c>
      <c r="G3174" s="276">
        <f t="shared" si="190"/>
        <v>100</v>
      </c>
      <c r="H3174" s="276">
        <v>100</v>
      </c>
      <c r="I3174" s="111"/>
    </row>
    <row r="3175" spans="3:9" ht="16.5" hidden="1" customHeight="1" x14ac:dyDescent="0.25">
      <c r="C3175" s="109"/>
      <c r="D3175" s="275" t="s">
        <v>2476</v>
      </c>
      <c r="E3175" s="197">
        <v>625000000</v>
      </c>
      <c r="F3175" s="108">
        <v>625000000</v>
      </c>
      <c r="G3175" s="276">
        <f t="shared" si="190"/>
        <v>100</v>
      </c>
      <c r="H3175" s="276">
        <v>100</v>
      </c>
      <c r="I3175" s="111"/>
    </row>
    <row r="3176" spans="3:9" ht="16.5" hidden="1" customHeight="1" x14ac:dyDescent="0.25">
      <c r="C3176" s="109"/>
      <c r="D3176" s="275" t="s">
        <v>2477</v>
      </c>
      <c r="E3176" s="197">
        <v>123600000</v>
      </c>
      <c r="F3176" s="108">
        <v>123600000</v>
      </c>
      <c r="G3176" s="276">
        <f t="shared" si="190"/>
        <v>100</v>
      </c>
      <c r="H3176" s="276">
        <v>100</v>
      </c>
      <c r="I3176" s="111"/>
    </row>
    <row r="3177" spans="3:9" ht="16.5" hidden="1" customHeight="1" x14ac:dyDescent="0.25">
      <c r="C3177" s="109"/>
      <c r="D3177" s="275"/>
      <c r="E3177" s="197"/>
      <c r="F3177" s="253"/>
      <c r="G3177" s="235"/>
      <c r="H3177" s="235"/>
      <c r="I3177" s="111"/>
    </row>
    <row r="3178" spans="3:9" s="115" customFormat="1" ht="16.5" hidden="1" customHeight="1" x14ac:dyDescent="0.25">
      <c r="C3178" s="159"/>
      <c r="D3178" s="274" t="s">
        <v>1119</v>
      </c>
      <c r="E3178" s="199">
        <v>1700000000</v>
      </c>
      <c r="F3178" s="113">
        <f>F3179+F3182</f>
        <v>1700000000</v>
      </c>
      <c r="G3178" s="114">
        <f t="shared" ref="G3178:G3184" si="191">(F3178/E3178)*100</f>
        <v>100</v>
      </c>
      <c r="H3178" s="110">
        <f>(H3179+H3182)/2</f>
        <v>100</v>
      </c>
      <c r="I3178" s="121"/>
    </row>
    <row r="3179" spans="3:9" ht="16.5" hidden="1" customHeight="1" x14ac:dyDescent="0.25">
      <c r="C3179" s="109"/>
      <c r="D3179" s="274" t="s">
        <v>2478</v>
      </c>
      <c r="E3179" s="199">
        <v>850000000</v>
      </c>
      <c r="F3179" s="113">
        <f>SUM(F3180:F3181)</f>
        <v>850000000</v>
      </c>
      <c r="G3179" s="114">
        <f t="shared" si="191"/>
        <v>100</v>
      </c>
      <c r="H3179" s="110">
        <f>SUM(H3180:H3181)/2</f>
        <v>100</v>
      </c>
      <c r="I3179" s="111"/>
    </row>
    <row r="3180" spans="3:9" ht="16.5" hidden="1" customHeight="1" x14ac:dyDescent="0.25">
      <c r="C3180" s="109"/>
      <c r="D3180" s="275" t="s">
        <v>2479</v>
      </c>
      <c r="E3180" s="197">
        <v>500000000</v>
      </c>
      <c r="F3180" s="108">
        <v>500000000</v>
      </c>
      <c r="G3180" s="235">
        <f t="shared" si="191"/>
        <v>100</v>
      </c>
      <c r="H3180" s="276">
        <v>100</v>
      </c>
      <c r="I3180" s="111"/>
    </row>
    <row r="3181" spans="3:9" ht="16.5" hidden="1" customHeight="1" x14ac:dyDescent="0.25">
      <c r="C3181" s="109"/>
      <c r="D3181" s="275" t="s">
        <v>2480</v>
      </c>
      <c r="E3181" s="197">
        <v>350000000</v>
      </c>
      <c r="F3181" s="108">
        <v>350000000</v>
      </c>
      <c r="G3181" s="235">
        <f t="shared" si="191"/>
        <v>100</v>
      </c>
      <c r="H3181" s="235">
        <v>100</v>
      </c>
      <c r="I3181" s="111"/>
    </row>
    <row r="3182" spans="3:9" ht="16.5" hidden="1" customHeight="1" x14ac:dyDescent="0.25">
      <c r="C3182" s="109"/>
      <c r="D3182" s="274" t="s">
        <v>2481</v>
      </c>
      <c r="E3182" s="199">
        <v>850000000</v>
      </c>
      <c r="F3182" s="113">
        <f>SUM(F3183:F3184)</f>
        <v>850000000</v>
      </c>
      <c r="G3182" s="114">
        <f t="shared" si="191"/>
        <v>100</v>
      </c>
      <c r="H3182" s="110">
        <f>SUM(H3183:H3184)/2</f>
        <v>100</v>
      </c>
      <c r="I3182" s="111"/>
    </row>
    <row r="3183" spans="3:9" ht="16.5" hidden="1" customHeight="1" x14ac:dyDescent="0.25">
      <c r="C3183" s="109"/>
      <c r="D3183" s="275" t="s">
        <v>2482</v>
      </c>
      <c r="E3183" s="197">
        <v>500000000</v>
      </c>
      <c r="F3183" s="108">
        <v>500000000</v>
      </c>
      <c r="G3183" s="235">
        <f t="shared" si="191"/>
        <v>100</v>
      </c>
      <c r="H3183" s="276">
        <v>100</v>
      </c>
      <c r="I3183" s="111"/>
    </row>
    <row r="3184" spans="3:9" ht="16.5" hidden="1" customHeight="1" x14ac:dyDescent="0.25">
      <c r="C3184" s="109"/>
      <c r="D3184" s="275" t="s">
        <v>2483</v>
      </c>
      <c r="E3184" s="197">
        <v>350000000</v>
      </c>
      <c r="F3184" s="108">
        <v>350000000</v>
      </c>
      <c r="G3184" s="235">
        <f t="shared" si="191"/>
        <v>100</v>
      </c>
      <c r="H3184" s="276">
        <v>100</v>
      </c>
      <c r="I3184" s="111"/>
    </row>
    <row r="3185" spans="3:9" ht="16.5" hidden="1" customHeight="1" x14ac:dyDescent="0.25">
      <c r="C3185" s="109"/>
      <c r="D3185" s="275"/>
      <c r="E3185" s="197"/>
      <c r="F3185" s="108"/>
      <c r="G3185" s="117"/>
      <c r="H3185" s="117"/>
      <c r="I3185" s="111"/>
    </row>
    <row r="3186" spans="3:9" s="115" customFormat="1" ht="16.5" hidden="1" customHeight="1" x14ac:dyDescent="0.25">
      <c r="C3186" s="159"/>
      <c r="D3186" s="274" t="s">
        <v>1075</v>
      </c>
      <c r="E3186" s="199">
        <v>2000000000</v>
      </c>
      <c r="F3186" s="254">
        <f>F3187</f>
        <v>1994250000</v>
      </c>
      <c r="G3186" s="297">
        <f t="shared" ref="G3186:G3192" si="192">(F3186/E3186)*100</f>
        <v>99.712500000000006</v>
      </c>
      <c r="H3186" s="297">
        <f>H3187</f>
        <v>100</v>
      </c>
      <c r="I3186" s="121"/>
    </row>
    <row r="3187" spans="3:9" ht="16.5" hidden="1" customHeight="1" x14ac:dyDescent="0.25">
      <c r="C3187" s="109"/>
      <c r="D3187" s="274" t="s">
        <v>319</v>
      </c>
      <c r="E3187" s="199">
        <v>2000000000</v>
      </c>
      <c r="F3187" s="254">
        <f>SUM(F3188:F3192)</f>
        <v>1994250000</v>
      </c>
      <c r="G3187" s="297">
        <f t="shared" si="192"/>
        <v>99.712500000000006</v>
      </c>
      <c r="H3187" s="297">
        <f>SUM(H3188:H3192)/5</f>
        <v>100</v>
      </c>
      <c r="I3187" s="111"/>
    </row>
    <row r="3188" spans="3:9" ht="16.5" hidden="1" customHeight="1" x14ac:dyDescent="0.25">
      <c r="C3188" s="109"/>
      <c r="D3188" s="275" t="s">
        <v>2484</v>
      </c>
      <c r="E3188" s="197">
        <v>150000000</v>
      </c>
      <c r="F3188" s="108">
        <v>150000000</v>
      </c>
      <c r="G3188" s="276">
        <f t="shared" si="192"/>
        <v>100</v>
      </c>
      <c r="H3188" s="276">
        <v>100</v>
      </c>
      <c r="I3188" s="111"/>
    </row>
    <row r="3189" spans="3:9" ht="16.5" hidden="1" customHeight="1" x14ac:dyDescent="0.25">
      <c r="C3189" s="109"/>
      <c r="D3189" s="275" t="s">
        <v>2485</v>
      </c>
      <c r="E3189" s="197">
        <v>850000000</v>
      </c>
      <c r="F3189" s="108">
        <v>845750000</v>
      </c>
      <c r="G3189" s="276">
        <f t="shared" si="192"/>
        <v>99.5</v>
      </c>
      <c r="H3189" s="276">
        <v>100</v>
      </c>
      <c r="I3189" s="111"/>
    </row>
    <row r="3190" spans="3:9" ht="16.5" hidden="1" customHeight="1" x14ac:dyDescent="0.25">
      <c r="C3190" s="109"/>
      <c r="D3190" s="275" t="s">
        <v>2486</v>
      </c>
      <c r="E3190" s="197">
        <v>400000000</v>
      </c>
      <c r="F3190" s="108">
        <v>400000000</v>
      </c>
      <c r="G3190" s="276">
        <f t="shared" si="192"/>
        <v>100</v>
      </c>
      <c r="H3190" s="276">
        <v>100</v>
      </c>
      <c r="I3190" s="111"/>
    </row>
    <row r="3191" spans="3:9" ht="16.5" hidden="1" customHeight="1" x14ac:dyDescent="0.25">
      <c r="C3191" s="109"/>
      <c r="D3191" s="275" t="s">
        <v>2487</v>
      </c>
      <c r="E3191" s="197">
        <v>250000000</v>
      </c>
      <c r="F3191" s="108">
        <v>248500000</v>
      </c>
      <c r="G3191" s="276">
        <f t="shared" si="192"/>
        <v>99.4</v>
      </c>
      <c r="H3191" s="276">
        <v>100</v>
      </c>
      <c r="I3191" s="111"/>
    </row>
    <row r="3192" spans="3:9" ht="16.5" hidden="1" customHeight="1" x14ac:dyDescent="0.25">
      <c r="C3192" s="109"/>
      <c r="D3192" s="275" t="s">
        <v>2488</v>
      </c>
      <c r="E3192" s="197">
        <v>350000000</v>
      </c>
      <c r="F3192" s="108">
        <v>350000000</v>
      </c>
      <c r="G3192" s="276">
        <f t="shared" si="192"/>
        <v>100</v>
      </c>
      <c r="H3192" s="276">
        <v>100</v>
      </c>
      <c r="I3192" s="111"/>
    </row>
    <row r="3193" spans="3:9" ht="16.5" hidden="1" customHeight="1" x14ac:dyDescent="0.25">
      <c r="C3193" s="109"/>
      <c r="D3193" s="275"/>
      <c r="E3193" s="197"/>
      <c r="F3193" s="108"/>
      <c r="G3193" s="117"/>
      <c r="H3193" s="117"/>
      <c r="I3193" s="111"/>
    </row>
    <row r="3194" spans="3:9" ht="16.5" hidden="1" customHeight="1" x14ac:dyDescent="0.25">
      <c r="C3194" s="109"/>
      <c r="D3194" s="274" t="s">
        <v>1933</v>
      </c>
      <c r="E3194" s="199">
        <v>4530000000</v>
      </c>
      <c r="F3194" s="254">
        <f>F3195</f>
        <v>4421470000</v>
      </c>
      <c r="G3194" s="297">
        <f>(F3194/E3194)*100</f>
        <v>97.604194260485656</v>
      </c>
      <c r="H3194" s="297">
        <f>H3195</f>
        <v>100</v>
      </c>
      <c r="I3194" s="111"/>
    </row>
    <row r="3195" spans="3:9" ht="16.5" hidden="1" customHeight="1" x14ac:dyDescent="0.25">
      <c r="C3195" s="109"/>
      <c r="D3195" s="274" t="s">
        <v>2489</v>
      </c>
      <c r="E3195" s="199">
        <v>4530000000</v>
      </c>
      <c r="F3195" s="254">
        <f>SUM(F3196)</f>
        <v>4421470000</v>
      </c>
      <c r="G3195" s="297">
        <f>(F3195/E3195)*100</f>
        <v>97.604194260485656</v>
      </c>
      <c r="H3195" s="297">
        <f>SUM(H3196)</f>
        <v>100</v>
      </c>
      <c r="I3195" s="111"/>
    </row>
    <row r="3196" spans="3:9" ht="16.5" hidden="1" customHeight="1" x14ac:dyDescent="0.25">
      <c r="C3196" s="109"/>
      <c r="D3196" s="275" t="s">
        <v>2490</v>
      </c>
      <c r="E3196" s="197">
        <v>4530000000</v>
      </c>
      <c r="F3196" s="108">
        <v>4421470000</v>
      </c>
      <c r="G3196" s="276">
        <f>(F3196/E3196)*100</f>
        <v>97.604194260485656</v>
      </c>
      <c r="H3196" s="276">
        <v>100</v>
      </c>
      <c r="I3196" s="111"/>
    </row>
    <row r="3197" spans="3:9" ht="16.5" hidden="1" customHeight="1" x14ac:dyDescent="0.25">
      <c r="C3197" s="109"/>
      <c r="D3197" s="275"/>
      <c r="E3197" s="197"/>
      <c r="F3197" s="253"/>
      <c r="G3197" s="276"/>
      <c r="H3197" s="276"/>
      <c r="I3197" s="111"/>
    </row>
    <row r="3198" spans="3:9" s="115" customFormat="1" ht="16.5" hidden="1" customHeight="1" x14ac:dyDescent="0.25">
      <c r="C3198" s="159"/>
      <c r="D3198" s="274" t="s">
        <v>2491</v>
      </c>
      <c r="E3198" s="199">
        <f>E3199+E3205+E3210+E3215+E3217+E3219</f>
        <v>18727922300</v>
      </c>
      <c r="F3198" s="254">
        <f>F3199+F3205+F3210+F3215+F3217+F3219</f>
        <v>17999005000</v>
      </c>
      <c r="G3198" s="297">
        <f t="shared" ref="G3198:G3220" si="193">(F3198/E3198)*100</f>
        <v>96.107858157869444</v>
      </c>
      <c r="H3198" s="297">
        <f>(H3199+H3205+H3210+H3215+H3217+H3219)/6</f>
        <v>91.666666666666671</v>
      </c>
      <c r="I3198" s="121"/>
    </row>
    <row r="3199" spans="3:9" s="115" customFormat="1" ht="18.75" hidden="1" customHeight="1" x14ac:dyDescent="0.25">
      <c r="C3199" s="159"/>
      <c r="D3199" s="274" t="s">
        <v>364</v>
      </c>
      <c r="E3199" s="199">
        <v>5236123500</v>
      </c>
      <c r="F3199" s="254">
        <f>SUM(F3200:F3204)</f>
        <v>5197045000</v>
      </c>
      <c r="G3199" s="297">
        <f t="shared" si="193"/>
        <v>99.253674975389714</v>
      </c>
      <c r="H3199" s="297">
        <f>SUM(H3200:H3204)/5</f>
        <v>100</v>
      </c>
      <c r="I3199" s="121"/>
    </row>
    <row r="3200" spans="3:9" ht="16.5" hidden="1" customHeight="1" x14ac:dyDescent="0.25">
      <c r="C3200" s="109"/>
      <c r="D3200" s="275" t="s">
        <v>365</v>
      </c>
      <c r="E3200" s="197">
        <v>455000000</v>
      </c>
      <c r="F3200" s="108">
        <v>442500000</v>
      </c>
      <c r="G3200" s="276">
        <f t="shared" si="193"/>
        <v>97.252747252747255</v>
      </c>
      <c r="H3200" s="276">
        <v>100</v>
      </c>
      <c r="I3200" s="111"/>
    </row>
    <row r="3201" spans="3:9" ht="16.5" hidden="1" customHeight="1" x14ac:dyDescent="0.25">
      <c r="C3201" s="109"/>
      <c r="D3201" s="275" t="s">
        <v>2492</v>
      </c>
      <c r="E3201" s="197">
        <v>780000000</v>
      </c>
      <c r="F3201" s="108">
        <v>765000000</v>
      </c>
      <c r="G3201" s="276">
        <f t="shared" si="193"/>
        <v>98.076923076923066</v>
      </c>
      <c r="H3201" s="276">
        <v>100</v>
      </c>
      <c r="I3201" s="111"/>
    </row>
    <row r="3202" spans="3:9" ht="16.5" hidden="1" customHeight="1" x14ac:dyDescent="0.25">
      <c r="C3202" s="109"/>
      <c r="D3202" s="275" t="s">
        <v>2493</v>
      </c>
      <c r="E3202" s="197">
        <v>175000000</v>
      </c>
      <c r="F3202" s="108">
        <v>174300000</v>
      </c>
      <c r="G3202" s="276">
        <f t="shared" si="193"/>
        <v>99.6</v>
      </c>
      <c r="H3202" s="276">
        <v>100</v>
      </c>
      <c r="I3202" s="111"/>
    </row>
    <row r="3203" spans="3:9" ht="16.5" hidden="1" customHeight="1" x14ac:dyDescent="0.25">
      <c r="C3203" s="109"/>
      <c r="D3203" s="275" t="s">
        <v>2494</v>
      </c>
      <c r="E3203" s="197">
        <v>3076123500</v>
      </c>
      <c r="F3203" s="108">
        <v>3065245000</v>
      </c>
      <c r="G3203" s="276">
        <f t="shared" si="193"/>
        <v>99.646356851407305</v>
      </c>
      <c r="H3203" s="276">
        <v>100</v>
      </c>
      <c r="I3203" s="111"/>
    </row>
    <row r="3204" spans="3:9" ht="16.5" hidden="1" customHeight="1" x14ac:dyDescent="0.25">
      <c r="C3204" s="109"/>
      <c r="D3204" s="275" t="s">
        <v>2495</v>
      </c>
      <c r="E3204" s="197">
        <v>750000000</v>
      </c>
      <c r="F3204" s="108">
        <v>750000000</v>
      </c>
      <c r="G3204" s="276">
        <f t="shared" si="193"/>
        <v>100</v>
      </c>
      <c r="H3204" s="276">
        <v>100</v>
      </c>
      <c r="I3204" s="111"/>
    </row>
    <row r="3205" spans="3:9" ht="16.5" hidden="1" customHeight="1" x14ac:dyDescent="0.25">
      <c r="C3205" s="109"/>
      <c r="D3205" s="274" t="s">
        <v>370</v>
      </c>
      <c r="E3205" s="199">
        <v>3537500000</v>
      </c>
      <c r="F3205" s="254">
        <f>SUM(F3206:F3209)</f>
        <v>3517930000</v>
      </c>
      <c r="G3205" s="297">
        <f t="shared" si="193"/>
        <v>99.446784452296825</v>
      </c>
      <c r="H3205" s="297">
        <f>SUM(H3206:H3209)/4</f>
        <v>100</v>
      </c>
      <c r="I3205" s="111"/>
    </row>
    <row r="3206" spans="3:9" ht="16.5" hidden="1" customHeight="1" x14ac:dyDescent="0.25">
      <c r="C3206" s="109"/>
      <c r="D3206" s="275" t="s">
        <v>2496</v>
      </c>
      <c r="E3206" s="197">
        <v>1417500000</v>
      </c>
      <c r="F3206" s="108">
        <v>1397930000</v>
      </c>
      <c r="G3206" s="276">
        <f t="shared" si="193"/>
        <v>98.619400352733692</v>
      </c>
      <c r="H3206" s="276">
        <v>100</v>
      </c>
      <c r="I3206" s="111"/>
    </row>
    <row r="3207" spans="3:9" ht="16.5" hidden="1" customHeight="1" x14ac:dyDescent="0.25">
      <c r="C3207" s="109"/>
      <c r="D3207" s="275" t="s">
        <v>2497</v>
      </c>
      <c r="E3207" s="197">
        <v>1200000000</v>
      </c>
      <c r="F3207" s="108">
        <v>1200000000</v>
      </c>
      <c r="G3207" s="276">
        <f t="shared" si="193"/>
        <v>100</v>
      </c>
      <c r="H3207" s="276">
        <v>100</v>
      </c>
      <c r="I3207" s="111"/>
    </row>
    <row r="3208" spans="3:9" ht="16.5" hidden="1" customHeight="1" x14ac:dyDescent="0.25">
      <c r="C3208" s="109"/>
      <c r="D3208" s="275" t="s">
        <v>2498</v>
      </c>
      <c r="E3208" s="197">
        <v>720000000</v>
      </c>
      <c r="F3208" s="108">
        <v>720000000</v>
      </c>
      <c r="G3208" s="276">
        <f t="shared" si="193"/>
        <v>100</v>
      </c>
      <c r="H3208" s="276">
        <v>100</v>
      </c>
      <c r="I3208" s="111"/>
    </row>
    <row r="3209" spans="3:9" ht="16.5" hidden="1" customHeight="1" x14ac:dyDescent="0.25">
      <c r="C3209" s="109"/>
      <c r="D3209" s="275" t="s">
        <v>2499</v>
      </c>
      <c r="E3209" s="197">
        <v>200000000</v>
      </c>
      <c r="F3209" s="108">
        <v>200000000</v>
      </c>
      <c r="G3209" s="276">
        <f t="shared" si="193"/>
        <v>100</v>
      </c>
      <c r="H3209" s="276">
        <v>100</v>
      </c>
      <c r="I3209" s="111"/>
    </row>
    <row r="3210" spans="3:9" ht="16.5" hidden="1" customHeight="1" x14ac:dyDescent="0.25">
      <c r="C3210" s="109"/>
      <c r="D3210" s="274" t="s">
        <v>2500</v>
      </c>
      <c r="E3210" s="199">
        <v>2038898800</v>
      </c>
      <c r="F3210" s="254">
        <f>SUM(F3211:F3214)</f>
        <v>1404030000</v>
      </c>
      <c r="G3210" s="297">
        <f t="shared" si="193"/>
        <v>68.8621720705314</v>
      </c>
      <c r="H3210" s="297">
        <f>SUM(H3211:H3214)/4</f>
        <v>50</v>
      </c>
      <c r="I3210" s="111"/>
    </row>
    <row r="3211" spans="3:9" ht="16.5" hidden="1" customHeight="1" x14ac:dyDescent="0.25">
      <c r="C3211" s="109"/>
      <c r="D3211" s="275" t="s">
        <v>2501</v>
      </c>
      <c r="E3211" s="197">
        <v>300000000</v>
      </c>
      <c r="F3211" s="108">
        <v>0</v>
      </c>
      <c r="G3211" s="276">
        <f t="shared" si="193"/>
        <v>0</v>
      </c>
      <c r="H3211" s="276">
        <v>0</v>
      </c>
      <c r="I3211" s="111"/>
    </row>
    <row r="3212" spans="3:9" ht="16.5" hidden="1" customHeight="1" x14ac:dyDescent="0.25">
      <c r="C3212" s="109"/>
      <c r="D3212" s="275" t="s">
        <v>2502</v>
      </c>
      <c r="E3212" s="197">
        <v>400000000</v>
      </c>
      <c r="F3212" s="108">
        <v>397000000</v>
      </c>
      <c r="G3212" s="276">
        <f t="shared" si="193"/>
        <v>99.25</v>
      </c>
      <c r="H3212" s="276">
        <v>100</v>
      </c>
      <c r="I3212" s="111"/>
    </row>
    <row r="3213" spans="3:9" ht="16.5" hidden="1" customHeight="1" x14ac:dyDescent="0.25">
      <c r="C3213" s="109"/>
      <c r="D3213" s="275" t="s">
        <v>2503</v>
      </c>
      <c r="E3213" s="197">
        <v>300000000</v>
      </c>
      <c r="F3213" s="108">
        <v>0</v>
      </c>
      <c r="G3213" s="276">
        <f t="shared" si="193"/>
        <v>0</v>
      </c>
      <c r="H3213" s="276">
        <v>0</v>
      </c>
      <c r="I3213" s="111"/>
    </row>
    <row r="3214" spans="3:9" ht="18.75" hidden="1" customHeight="1" x14ac:dyDescent="0.25">
      <c r="C3214" s="109"/>
      <c r="D3214" s="275" t="s">
        <v>2504</v>
      </c>
      <c r="E3214" s="197">
        <v>1038898800</v>
      </c>
      <c r="F3214" s="108">
        <v>1007030000</v>
      </c>
      <c r="G3214" s="276">
        <f t="shared" si="193"/>
        <v>96.93244423807208</v>
      </c>
      <c r="H3214" s="276">
        <v>100</v>
      </c>
      <c r="I3214" s="111"/>
    </row>
    <row r="3215" spans="3:9" ht="16.5" hidden="1" customHeight="1" x14ac:dyDescent="0.25">
      <c r="C3215" s="109"/>
      <c r="D3215" s="274" t="s">
        <v>1322</v>
      </c>
      <c r="E3215" s="199">
        <v>5665400000</v>
      </c>
      <c r="F3215" s="254">
        <f>SUM(F3216)</f>
        <v>5646000000</v>
      </c>
      <c r="G3215" s="297">
        <f t="shared" si="193"/>
        <v>99.657570515762345</v>
      </c>
      <c r="H3215" s="297">
        <f>SUM(H3216)</f>
        <v>100</v>
      </c>
      <c r="I3215" s="111"/>
    </row>
    <row r="3216" spans="3:9" ht="16.5" hidden="1" customHeight="1" x14ac:dyDescent="0.25">
      <c r="C3216" s="109"/>
      <c r="D3216" s="275" t="s">
        <v>2505</v>
      </c>
      <c r="E3216" s="197">
        <v>5665400000</v>
      </c>
      <c r="F3216" s="108">
        <v>5646000000</v>
      </c>
      <c r="G3216" s="276">
        <f t="shared" si="193"/>
        <v>99.657570515762345</v>
      </c>
      <c r="H3216" s="276">
        <v>100</v>
      </c>
      <c r="I3216" s="111"/>
    </row>
    <row r="3217" spans="3:9" ht="16.5" hidden="1" customHeight="1" x14ac:dyDescent="0.25">
      <c r="C3217" s="109"/>
      <c r="D3217" s="274" t="s">
        <v>2506</v>
      </c>
      <c r="E3217" s="199">
        <v>250000000</v>
      </c>
      <c r="F3217" s="254">
        <f>SUM(F3218)</f>
        <v>250000000</v>
      </c>
      <c r="G3217" s="297">
        <f t="shared" si="193"/>
        <v>100</v>
      </c>
      <c r="H3217" s="297">
        <f>SUM(H3218)</f>
        <v>100</v>
      </c>
      <c r="I3217" s="111"/>
    </row>
    <row r="3218" spans="3:9" ht="16.5" hidden="1" customHeight="1" x14ac:dyDescent="0.25">
      <c r="C3218" s="109"/>
      <c r="D3218" s="275" t="s">
        <v>2507</v>
      </c>
      <c r="E3218" s="197">
        <v>250000000</v>
      </c>
      <c r="F3218" s="108">
        <v>250000000</v>
      </c>
      <c r="G3218" s="276">
        <f t="shared" si="193"/>
        <v>100</v>
      </c>
      <c r="H3218" s="276">
        <v>100</v>
      </c>
      <c r="I3218" s="111"/>
    </row>
    <row r="3219" spans="3:9" ht="16.5" hidden="1" customHeight="1" x14ac:dyDescent="0.25">
      <c r="C3219" s="109"/>
      <c r="D3219" s="274" t="s">
        <v>2508</v>
      </c>
      <c r="E3219" s="199">
        <v>2000000000</v>
      </c>
      <c r="F3219" s="254">
        <f>SUM(F3220)</f>
        <v>1984000000</v>
      </c>
      <c r="G3219" s="297">
        <f t="shared" si="193"/>
        <v>99.2</v>
      </c>
      <c r="H3219" s="297">
        <f>SUM(H3220)</f>
        <v>100</v>
      </c>
      <c r="I3219" s="111"/>
    </row>
    <row r="3220" spans="3:9" ht="18.75" hidden="1" customHeight="1" x14ac:dyDescent="0.25">
      <c r="C3220" s="109"/>
      <c r="D3220" s="275" t="s">
        <v>2509</v>
      </c>
      <c r="E3220" s="197">
        <v>2000000000</v>
      </c>
      <c r="F3220" s="108">
        <v>1984000000</v>
      </c>
      <c r="G3220" s="276">
        <f t="shared" si="193"/>
        <v>99.2</v>
      </c>
      <c r="H3220" s="276">
        <v>100</v>
      </c>
      <c r="I3220" s="111"/>
    </row>
    <row r="3221" spans="3:9" ht="16.5" hidden="1" customHeight="1" x14ac:dyDescent="0.25">
      <c r="C3221" s="109"/>
      <c r="D3221" s="275"/>
      <c r="E3221" s="197"/>
      <c r="F3221" s="108"/>
      <c r="G3221" s="117"/>
      <c r="H3221" s="117"/>
      <c r="I3221" s="111"/>
    </row>
    <row r="3222" spans="3:9" ht="16.5" hidden="1" customHeight="1" x14ac:dyDescent="0.25">
      <c r="C3222" s="109"/>
      <c r="D3222" s="274" t="s">
        <v>2510</v>
      </c>
      <c r="E3222" s="199">
        <v>760000000</v>
      </c>
      <c r="F3222" s="254">
        <f>F3223</f>
        <v>760000000</v>
      </c>
      <c r="G3222" s="297">
        <f>(F3222/E3222)*100</f>
        <v>100</v>
      </c>
      <c r="H3222" s="297">
        <f>H3223</f>
        <v>100</v>
      </c>
      <c r="I3222" s="111"/>
    </row>
    <row r="3223" spans="3:9" ht="16.5" hidden="1" customHeight="1" x14ac:dyDescent="0.25">
      <c r="C3223" s="109"/>
      <c r="D3223" s="274" t="s">
        <v>400</v>
      </c>
      <c r="E3223" s="199">
        <v>760000000</v>
      </c>
      <c r="F3223" s="254">
        <f>SUM(F3224:F3225)</f>
        <v>760000000</v>
      </c>
      <c r="G3223" s="297">
        <f>(F3223/E3223)*100</f>
        <v>100</v>
      </c>
      <c r="H3223" s="297">
        <f>SUM(H3224:H3225)/2</f>
        <v>100</v>
      </c>
      <c r="I3223" s="111"/>
    </row>
    <row r="3224" spans="3:9" ht="16.5" hidden="1" customHeight="1" x14ac:dyDescent="0.25">
      <c r="C3224" s="109"/>
      <c r="D3224" s="275" t="s">
        <v>2511</v>
      </c>
      <c r="E3224" s="197">
        <v>380000000</v>
      </c>
      <c r="F3224" s="108">
        <v>380000000</v>
      </c>
      <c r="G3224" s="276">
        <f>(F3224/E3224)*100</f>
        <v>100</v>
      </c>
      <c r="H3224" s="276">
        <v>100</v>
      </c>
      <c r="I3224" s="111"/>
    </row>
    <row r="3225" spans="3:9" ht="16.5" hidden="1" customHeight="1" x14ac:dyDescent="0.25">
      <c r="C3225" s="109"/>
      <c r="D3225" s="275" t="s">
        <v>2512</v>
      </c>
      <c r="E3225" s="197">
        <v>380000000</v>
      </c>
      <c r="F3225" s="108">
        <v>380000000</v>
      </c>
      <c r="G3225" s="276">
        <f>(F3225/E3225)*100</f>
        <v>100</v>
      </c>
      <c r="H3225" s="276">
        <v>100</v>
      </c>
      <c r="I3225" s="111"/>
    </row>
    <row r="3226" spans="3:9" ht="16.5" hidden="1" customHeight="1" x14ac:dyDescent="0.25">
      <c r="C3226" s="109"/>
      <c r="D3226" s="275"/>
      <c r="E3226" s="197"/>
      <c r="F3226" s="108"/>
      <c r="G3226" s="117"/>
      <c r="H3226" s="117"/>
      <c r="I3226" s="111"/>
    </row>
    <row r="3227" spans="3:9" s="115" customFormat="1" ht="16.5" hidden="1" customHeight="1" x14ac:dyDescent="0.25">
      <c r="C3227" s="159"/>
      <c r="D3227" s="274" t="s">
        <v>1982</v>
      </c>
      <c r="E3227" s="199">
        <f>E3228+E3231+E3235+E3240</f>
        <v>5150000000</v>
      </c>
      <c r="F3227" s="254">
        <f>F3228+F3231+F3235+F3240</f>
        <v>5142150000</v>
      </c>
      <c r="G3227" s="297">
        <f t="shared" ref="G3227:G3244" si="194">(F3227/E3227)*100</f>
        <v>99.847572815533979</v>
      </c>
      <c r="H3227" s="297">
        <f>(H3228+H3231+H3235+H3240)/4</f>
        <v>100</v>
      </c>
      <c r="I3227" s="121"/>
    </row>
    <row r="3228" spans="3:9" s="115" customFormat="1" ht="16.5" hidden="1" customHeight="1" x14ac:dyDescent="0.25">
      <c r="C3228" s="159"/>
      <c r="D3228" s="274" t="s">
        <v>2513</v>
      </c>
      <c r="E3228" s="199">
        <v>1250000000</v>
      </c>
      <c r="F3228" s="254">
        <f>SUM(F3229:F3230)</f>
        <v>1248000000</v>
      </c>
      <c r="G3228" s="297">
        <f t="shared" si="194"/>
        <v>99.839999999999989</v>
      </c>
      <c r="H3228" s="297">
        <f>SUM(H3229:H3230)/2</f>
        <v>100</v>
      </c>
      <c r="I3228" s="121"/>
    </row>
    <row r="3229" spans="3:9" ht="16.5" hidden="1" customHeight="1" x14ac:dyDescent="0.25">
      <c r="C3229" s="109"/>
      <c r="D3229" s="275" t="s">
        <v>2514</v>
      </c>
      <c r="E3229" s="197">
        <v>500000000</v>
      </c>
      <c r="F3229" s="108">
        <v>499000000</v>
      </c>
      <c r="G3229" s="276">
        <f t="shared" si="194"/>
        <v>99.8</v>
      </c>
      <c r="H3229" s="276">
        <v>100</v>
      </c>
      <c r="I3229" s="111"/>
    </row>
    <row r="3230" spans="3:9" ht="16.5" hidden="1" customHeight="1" x14ac:dyDescent="0.25">
      <c r="C3230" s="109"/>
      <c r="D3230" s="275" t="s">
        <v>2515</v>
      </c>
      <c r="E3230" s="197">
        <v>750000000</v>
      </c>
      <c r="F3230" s="108">
        <v>749000000</v>
      </c>
      <c r="G3230" s="276">
        <f t="shared" si="194"/>
        <v>99.866666666666674</v>
      </c>
      <c r="H3230" s="276">
        <v>100</v>
      </c>
      <c r="I3230" s="111"/>
    </row>
    <row r="3231" spans="3:9" ht="16.5" hidden="1" customHeight="1" x14ac:dyDescent="0.25">
      <c r="C3231" s="109"/>
      <c r="D3231" s="274" t="s">
        <v>2516</v>
      </c>
      <c r="E3231" s="199">
        <v>1370000000</v>
      </c>
      <c r="F3231" s="254">
        <f>SUM(F3232:F3234)</f>
        <v>1368000000</v>
      </c>
      <c r="G3231" s="297">
        <f t="shared" si="194"/>
        <v>99.854014598540147</v>
      </c>
      <c r="H3231" s="297">
        <f>SUM(H3232:H3234)/3</f>
        <v>100</v>
      </c>
      <c r="I3231" s="111"/>
    </row>
    <row r="3232" spans="3:9" ht="16.5" hidden="1" customHeight="1" x14ac:dyDescent="0.25">
      <c r="C3232" s="109"/>
      <c r="D3232" s="275" t="s">
        <v>2517</v>
      </c>
      <c r="E3232" s="197">
        <v>250000000</v>
      </c>
      <c r="F3232" s="108">
        <v>249000000</v>
      </c>
      <c r="G3232" s="276">
        <f t="shared" si="194"/>
        <v>99.6</v>
      </c>
      <c r="H3232" s="276">
        <v>100</v>
      </c>
      <c r="I3232" s="111"/>
    </row>
    <row r="3233" spans="3:9" ht="16.5" hidden="1" customHeight="1" x14ac:dyDescent="0.25">
      <c r="C3233" s="109"/>
      <c r="D3233" s="275" t="s">
        <v>2518</v>
      </c>
      <c r="E3233" s="197">
        <v>400000000</v>
      </c>
      <c r="F3233" s="108">
        <v>399000000</v>
      </c>
      <c r="G3233" s="276">
        <f t="shared" si="194"/>
        <v>99.75</v>
      </c>
      <c r="H3233" s="276">
        <v>100</v>
      </c>
      <c r="I3233" s="111"/>
    </row>
    <row r="3234" spans="3:9" ht="16.5" hidden="1" customHeight="1" x14ac:dyDescent="0.25">
      <c r="C3234" s="109"/>
      <c r="D3234" s="275" t="s">
        <v>2519</v>
      </c>
      <c r="E3234" s="197">
        <v>720000000</v>
      </c>
      <c r="F3234" s="108">
        <v>720000000</v>
      </c>
      <c r="G3234" s="276">
        <f t="shared" si="194"/>
        <v>100</v>
      </c>
      <c r="H3234" s="276">
        <v>100</v>
      </c>
      <c r="I3234" s="111"/>
    </row>
    <row r="3235" spans="3:9" ht="16.5" hidden="1" customHeight="1" x14ac:dyDescent="0.25">
      <c r="C3235" s="109"/>
      <c r="D3235" s="274" t="s">
        <v>496</v>
      </c>
      <c r="E3235" s="199">
        <v>1850000000</v>
      </c>
      <c r="F3235" s="254">
        <f>SUM(F3236:F3239)</f>
        <v>1849000000</v>
      </c>
      <c r="G3235" s="297">
        <f t="shared" si="194"/>
        <v>99.945945945945951</v>
      </c>
      <c r="H3235" s="297">
        <f>SUM(H3236:H3239)/4</f>
        <v>100</v>
      </c>
      <c r="I3235" s="111"/>
    </row>
    <row r="3236" spans="3:9" ht="16.5" hidden="1" customHeight="1" x14ac:dyDescent="0.25">
      <c r="C3236" s="109"/>
      <c r="D3236" s="275" t="s">
        <v>2520</v>
      </c>
      <c r="E3236" s="197">
        <v>750000000</v>
      </c>
      <c r="F3236" s="108">
        <v>750000000</v>
      </c>
      <c r="G3236" s="276">
        <f t="shared" si="194"/>
        <v>100</v>
      </c>
      <c r="H3236" s="276">
        <v>100</v>
      </c>
      <c r="I3236" s="111"/>
    </row>
    <row r="3237" spans="3:9" ht="16.5" hidden="1" customHeight="1" x14ac:dyDescent="0.25">
      <c r="C3237" s="109"/>
      <c r="D3237" s="275" t="s">
        <v>2521</v>
      </c>
      <c r="E3237" s="197">
        <v>750000000</v>
      </c>
      <c r="F3237" s="108">
        <v>749000000</v>
      </c>
      <c r="G3237" s="276">
        <f t="shared" si="194"/>
        <v>99.866666666666674</v>
      </c>
      <c r="H3237" s="276">
        <v>100</v>
      </c>
      <c r="I3237" s="111"/>
    </row>
    <row r="3238" spans="3:9" ht="16.5" hidden="1" customHeight="1" x14ac:dyDescent="0.25">
      <c r="C3238" s="109"/>
      <c r="D3238" s="275" t="s">
        <v>2522</v>
      </c>
      <c r="E3238" s="197">
        <v>250000000</v>
      </c>
      <c r="F3238" s="108">
        <v>250000000</v>
      </c>
      <c r="G3238" s="276">
        <f t="shared" si="194"/>
        <v>100</v>
      </c>
      <c r="H3238" s="276">
        <v>100</v>
      </c>
      <c r="I3238" s="111"/>
    </row>
    <row r="3239" spans="3:9" ht="16.5" hidden="1" customHeight="1" x14ac:dyDescent="0.25">
      <c r="C3239" s="109"/>
      <c r="D3239" s="275" t="s">
        <v>2523</v>
      </c>
      <c r="E3239" s="197">
        <v>100000000</v>
      </c>
      <c r="F3239" s="108">
        <v>100000000</v>
      </c>
      <c r="G3239" s="276">
        <f t="shared" si="194"/>
        <v>100</v>
      </c>
      <c r="H3239" s="276">
        <v>100</v>
      </c>
      <c r="I3239" s="111"/>
    </row>
    <row r="3240" spans="3:9" ht="16.5" hidden="1" customHeight="1" x14ac:dyDescent="0.25">
      <c r="C3240" s="109"/>
      <c r="D3240" s="274" t="s">
        <v>517</v>
      </c>
      <c r="E3240" s="199">
        <v>680000000</v>
      </c>
      <c r="F3240" s="254">
        <f>SUM(F3241:F3244)</f>
        <v>677150000</v>
      </c>
      <c r="G3240" s="297">
        <f t="shared" si="194"/>
        <v>99.580882352941174</v>
      </c>
      <c r="H3240" s="297">
        <f>SUM(H3241:H3244)/4</f>
        <v>100</v>
      </c>
      <c r="I3240" s="111"/>
    </row>
    <row r="3241" spans="3:9" ht="16.5" hidden="1" customHeight="1" x14ac:dyDescent="0.25">
      <c r="C3241" s="109"/>
      <c r="D3241" s="275" t="s">
        <v>2524</v>
      </c>
      <c r="E3241" s="197">
        <v>180000000</v>
      </c>
      <c r="F3241" s="108">
        <v>179000000</v>
      </c>
      <c r="G3241" s="276">
        <f t="shared" si="194"/>
        <v>99.444444444444443</v>
      </c>
      <c r="H3241" s="276">
        <v>100</v>
      </c>
      <c r="I3241" s="111"/>
    </row>
    <row r="3242" spans="3:9" ht="16.5" hidden="1" customHeight="1" x14ac:dyDescent="0.25">
      <c r="C3242" s="109"/>
      <c r="D3242" s="275" t="s">
        <v>2525</v>
      </c>
      <c r="E3242" s="197">
        <v>50000000</v>
      </c>
      <c r="F3242" s="108">
        <v>50000000</v>
      </c>
      <c r="G3242" s="276">
        <f t="shared" si="194"/>
        <v>100</v>
      </c>
      <c r="H3242" s="276">
        <v>100</v>
      </c>
      <c r="I3242" s="111"/>
    </row>
    <row r="3243" spans="3:9" ht="16.5" hidden="1" customHeight="1" x14ac:dyDescent="0.25">
      <c r="C3243" s="109"/>
      <c r="D3243" s="275" t="s">
        <v>2526</v>
      </c>
      <c r="E3243" s="197">
        <v>300000000</v>
      </c>
      <c r="F3243" s="108">
        <v>298650000</v>
      </c>
      <c r="G3243" s="276">
        <f t="shared" si="194"/>
        <v>99.550000000000011</v>
      </c>
      <c r="H3243" s="276">
        <v>100</v>
      </c>
      <c r="I3243" s="111"/>
    </row>
    <row r="3244" spans="3:9" ht="16.5" hidden="1" customHeight="1" x14ac:dyDescent="0.25">
      <c r="C3244" s="109"/>
      <c r="D3244" s="275" t="s">
        <v>2527</v>
      </c>
      <c r="E3244" s="197">
        <v>150000000</v>
      </c>
      <c r="F3244" s="108">
        <v>149500000</v>
      </c>
      <c r="G3244" s="276">
        <f t="shared" si="194"/>
        <v>99.666666666666671</v>
      </c>
      <c r="H3244" s="276">
        <v>100</v>
      </c>
      <c r="I3244" s="111"/>
    </row>
    <row r="3245" spans="3:9" ht="16.5" hidden="1" customHeight="1" x14ac:dyDescent="0.25">
      <c r="C3245" s="109"/>
      <c r="D3245" s="275"/>
      <c r="E3245" s="197"/>
      <c r="F3245" s="108"/>
      <c r="G3245" s="117"/>
      <c r="H3245" s="117"/>
      <c r="I3245" s="111"/>
    </row>
    <row r="3246" spans="3:9" s="115" customFormat="1" ht="16.5" hidden="1" customHeight="1" x14ac:dyDescent="0.25">
      <c r="C3246" s="159"/>
      <c r="D3246" s="274" t="s">
        <v>2528</v>
      </c>
      <c r="E3246" s="199">
        <f>E3247+E3250+E3252</f>
        <v>12258369640</v>
      </c>
      <c r="F3246" s="254">
        <f>F3247+F3250+F3252</f>
        <v>11979528171.860001</v>
      </c>
      <c r="G3246" s="297">
        <f t="shared" ref="G3246:G3260" si="195">(F3246/E3246)*100</f>
        <v>97.725297275829263</v>
      </c>
      <c r="H3246" s="297">
        <f>(H3247+H3250+H3252)/3</f>
        <v>100</v>
      </c>
      <c r="I3246" s="121"/>
    </row>
    <row r="3247" spans="3:9" s="115" customFormat="1" ht="16.5" hidden="1" customHeight="1" x14ac:dyDescent="0.25">
      <c r="C3247" s="159"/>
      <c r="D3247" s="274" t="s">
        <v>2529</v>
      </c>
      <c r="E3247" s="199">
        <v>3170000000</v>
      </c>
      <c r="F3247" s="254">
        <f>SUM(F3248:F3249)</f>
        <v>3170000000</v>
      </c>
      <c r="G3247" s="297">
        <f t="shared" si="195"/>
        <v>100</v>
      </c>
      <c r="H3247" s="297">
        <f>SUM(H3248:H3249)/2</f>
        <v>100</v>
      </c>
      <c r="I3247" s="121"/>
    </row>
    <row r="3248" spans="3:9" ht="16.5" hidden="1" customHeight="1" x14ac:dyDescent="0.25">
      <c r="C3248" s="109"/>
      <c r="D3248" s="275" t="s">
        <v>2530</v>
      </c>
      <c r="E3248" s="197">
        <v>3070000000</v>
      </c>
      <c r="F3248" s="253">
        <v>3070000000</v>
      </c>
      <c r="G3248" s="276">
        <f t="shared" si="195"/>
        <v>100</v>
      </c>
      <c r="H3248" s="276">
        <v>100</v>
      </c>
      <c r="I3248" s="111"/>
    </row>
    <row r="3249" spans="3:9" ht="18.75" hidden="1" customHeight="1" x14ac:dyDescent="0.25">
      <c r="C3249" s="109"/>
      <c r="D3249" s="275" t="s">
        <v>2531</v>
      </c>
      <c r="E3249" s="197">
        <v>100000000</v>
      </c>
      <c r="F3249" s="253">
        <v>100000000</v>
      </c>
      <c r="G3249" s="276">
        <f t="shared" si="195"/>
        <v>100</v>
      </c>
      <c r="H3249" s="276">
        <v>100</v>
      </c>
      <c r="I3249" s="111"/>
    </row>
    <row r="3250" spans="3:9" ht="16.5" hidden="1" customHeight="1" x14ac:dyDescent="0.25">
      <c r="C3250" s="109"/>
      <c r="D3250" s="274" t="s">
        <v>2532</v>
      </c>
      <c r="E3250" s="199">
        <f>E3251</f>
        <v>5691669640</v>
      </c>
      <c r="F3250" s="254">
        <f>SUM(F3251)</f>
        <v>5691669640</v>
      </c>
      <c r="G3250" s="297">
        <f t="shared" si="195"/>
        <v>100</v>
      </c>
      <c r="H3250" s="297">
        <f>SUM(H3251)</f>
        <v>100</v>
      </c>
      <c r="I3250" s="111"/>
    </row>
    <row r="3251" spans="3:9" ht="16.5" hidden="1" customHeight="1" x14ac:dyDescent="0.25">
      <c r="C3251" s="109"/>
      <c r="D3251" s="275" t="s">
        <v>2533</v>
      </c>
      <c r="E3251" s="197">
        <v>5691669640</v>
      </c>
      <c r="F3251" s="253">
        <v>5691669640</v>
      </c>
      <c r="G3251" s="276">
        <f t="shared" si="195"/>
        <v>100</v>
      </c>
      <c r="H3251" s="276">
        <v>100</v>
      </c>
      <c r="I3251" s="111"/>
    </row>
    <row r="3252" spans="3:9" s="115" customFormat="1" ht="16.5" hidden="1" customHeight="1" x14ac:dyDescent="0.25">
      <c r="C3252" s="159"/>
      <c r="D3252" s="274" t="s">
        <v>2534</v>
      </c>
      <c r="E3252" s="199">
        <v>3396700000</v>
      </c>
      <c r="F3252" s="254">
        <f>SUM(F3253:F3260)</f>
        <v>3117858531.8599997</v>
      </c>
      <c r="G3252" s="297">
        <f t="shared" si="195"/>
        <v>91.790812608119637</v>
      </c>
      <c r="H3252" s="297">
        <f>SUM(H3253:H3260)/8</f>
        <v>100</v>
      </c>
      <c r="I3252" s="121"/>
    </row>
    <row r="3253" spans="3:9" ht="44.25" hidden="1" customHeight="1" x14ac:dyDescent="0.25">
      <c r="C3253" s="109"/>
      <c r="D3253" s="275" t="s">
        <v>2535</v>
      </c>
      <c r="E3253" s="197">
        <v>154000000</v>
      </c>
      <c r="F3253" s="253">
        <v>132000000</v>
      </c>
      <c r="G3253" s="276">
        <f t="shared" si="195"/>
        <v>85.714285714285708</v>
      </c>
      <c r="H3253" s="276">
        <v>100</v>
      </c>
      <c r="I3253" s="111"/>
    </row>
    <row r="3254" spans="3:9" ht="44.25" hidden="1" customHeight="1" x14ac:dyDescent="0.25">
      <c r="C3254" s="109"/>
      <c r="D3254" s="275" t="s">
        <v>2536</v>
      </c>
      <c r="E3254" s="197">
        <v>260000000</v>
      </c>
      <c r="F3254" s="253">
        <v>189088000</v>
      </c>
      <c r="G3254" s="276">
        <f t="shared" si="195"/>
        <v>72.726153846153849</v>
      </c>
      <c r="H3254" s="276">
        <v>100</v>
      </c>
      <c r="I3254" s="111"/>
    </row>
    <row r="3255" spans="3:9" ht="44.25" hidden="1" customHeight="1" x14ac:dyDescent="0.25">
      <c r="C3255" s="109"/>
      <c r="D3255" s="275" t="s">
        <v>2537</v>
      </c>
      <c r="E3255" s="197">
        <v>45000000</v>
      </c>
      <c r="F3255" s="253">
        <v>38568000</v>
      </c>
      <c r="G3255" s="276">
        <f t="shared" si="195"/>
        <v>85.706666666666663</v>
      </c>
      <c r="H3255" s="276">
        <v>100</v>
      </c>
      <c r="I3255" s="111"/>
    </row>
    <row r="3256" spans="3:9" ht="18.75" hidden="1" customHeight="1" x14ac:dyDescent="0.25">
      <c r="C3256" s="109"/>
      <c r="D3256" s="275" t="s">
        <v>2538</v>
      </c>
      <c r="E3256" s="197">
        <v>1730000000</v>
      </c>
      <c r="F3256" s="253">
        <v>1686202531.8599999</v>
      </c>
      <c r="G3256" s="276">
        <f t="shared" si="195"/>
        <v>97.468354442774569</v>
      </c>
      <c r="H3256" s="276">
        <v>100</v>
      </c>
      <c r="I3256" s="111"/>
    </row>
    <row r="3257" spans="3:9" ht="18.75" hidden="1" customHeight="1" x14ac:dyDescent="0.25">
      <c r="C3257" s="109"/>
      <c r="D3257" s="275" t="s">
        <v>2539</v>
      </c>
      <c r="E3257" s="197">
        <v>370000000</v>
      </c>
      <c r="F3257" s="253">
        <v>340000000</v>
      </c>
      <c r="G3257" s="276">
        <f t="shared" si="195"/>
        <v>91.891891891891902</v>
      </c>
      <c r="H3257" s="276">
        <v>100</v>
      </c>
      <c r="I3257" s="111"/>
    </row>
    <row r="3258" spans="3:9" ht="16.5" hidden="1" customHeight="1" x14ac:dyDescent="0.25">
      <c r="C3258" s="109"/>
      <c r="D3258" s="275" t="s">
        <v>2540</v>
      </c>
      <c r="E3258" s="197">
        <v>300000000</v>
      </c>
      <c r="F3258" s="253">
        <f>+E3258</f>
        <v>300000000</v>
      </c>
      <c r="G3258" s="276">
        <f t="shared" si="195"/>
        <v>100</v>
      </c>
      <c r="H3258" s="276">
        <v>100</v>
      </c>
      <c r="I3258" s="111"/>
    </row>
    <row r="3259" spans="3:9" ht="44.25" hidden="1" customHeight="1" x14ac:dyDescent="0.25">
      <c r="C3259" s="109"/>
      <c r="D3259" s="275" t="s">
        <v>2541</v>
      </c>
      <c r="E3259" s="197">
        <v>300000000</v>
      </c>
      <c r="F3259" s="253">
        <v>300000000</v>
      </c>
      <c r="G3259" s="276">
        <f t="shared" si="195"/>
        <v>100</v>
      </c>
      <c r="H3259" s="276">
        <v>100</v>
      </c>
      <c r="I3259" s="111"/>
    </row>
    <row r="3260" spans="3:9" ht="44.25" hidden="1" customHeight="1" x14ac:dyDescent="0.25">
      <c r="C3260" s="109"/>
      <c r="D3260" s="275" t="s">
        <v>2542</v>
      </c>
      <c r="E3260" s="197">
        <v>148600000</v>
      </c>
      <c r="F3260" s="253">
        <v>132000000</v>
      </c>
      <c r="G3260" s="276">
        <f t="shared" si="195"/>
        <v>88.829071332436072</v>
      </c>
      <c r="H3260" s="276">
        <v>100</v>
      </c>
      <c r="I3260" s="111"/>
    </row>
    <row r="3261" spans="3:9" ht="16.5" hidden="1" customHeight="1" x14ac:dyDescent="0.25">
      <c r="C3261" s="109"/>
      <c r="D3261" s="275"/>
      <c r="E3261" s="197"/>
      <c r="F3261" s="108"/>
      <c r="G3261" s="117"/>
      <c r="H3261" s="117"/>
      <c r="I3261" s="111"/>
    </row>
    <row r="3262" spans="3:9" ht="16.5" hidden="1" customHeight="1" x14ac:dyDescent="0.25">
      <c r="C3262" s="109"/>
      <c r="D3262" s="274" t="s">
        <v>1148</v>
      </c>
      <c r="E3262" s="199">
        <v>2213889880</v>
      </c>
      <c r="F3262" s="254">
        <f>F3263</f>
        <v>2213889880</v>
      </c>
      <c r="G3262" s="297">
        <f>(F3262/E3262)*100</f>
        <v>100</v>
      </c>
      <c r="H3262" s="297">
        <f>H3263</f>
        <v>100</v>
      </c>
      <c r="I3262" s="111"/>
    </row>
    <row r="3263" spans="3:9" ht="16.5" hidden="1" customHeight="1" x14ac:dyDescent="0.25">
      <c r="C3263" s="109"/>
      <c r="D3263" s="274" t="s">
        <v>954</v>
      </c>
      <c r="E3263" s="199">
        <f>+E3264+E3265</f>
        <v>2213889880</v>
      </c>
      <c r="F3263" s="254">
        <f>SUM(F3264:F3265)</f>
        <v>2213889880</v>
      </c>
      <c r="G3263" s="297">
        <f>(F3263/E3263)*100</f>
        <v>100</v>
      </c>
      <c r="H3263" s="297">
        <f>SUM(H3264:H3265)/2</f>
        <v>100</v>
      </c>
      <c r="I3263" s="111"/>
    </row>
    <row r="3264" spans="3:9" ht="16.5" hidden="1" customHeight="1" x14ac:dyDescent="0.25">
      <c r="C3264" s="109"/>
      <c r="D3264" s="275" t="s">
        <v>2543</v>
      </c>
      <c r="E3264" s="197">
        <v>698889880</v>
      </c>
      <c r="F3264" s="108">
        <v>698889880</v>
      </c>
      <c r="G3264" s="276">
        <f>(F3264/E3264)*100</f>
        <v>100</v>
      </c>
      <c r="H3264" s="276">
        <v>100</v>
      </c>
      <c r="I3264" s="111"/>
    </row>
    <row r="3265" spans="3:9" ht="16.5" hidden="1" customHeight="1" x14ac:dyDescent="0.25">
      <c r="C3265" s="109"/>
      <c r="D3265" s="275" t="s">
        <v>2544</v>
      </c>
      <c r="E3265" s="197">
        <v>1515000000</v>
      </c>
      <c r="F3265" s="108">
        <v>1515000000</v>
      </c>
      <c r="G3265" s="276">
        <f>(F3265/E3265)*100</f>
        <v>100</v>
      </c>
      <c r="H3265" s="276">
        <v>100</v>
      </c>
      <c r="I3265" s="111"/>
    </row>
    <row r="3266" spans="3:9" ht="16.5" hidden="1" customHeight="1" x14ac:dyDescent="0.25">
      <c r="C3266" s="109"/>
      <c r="D3266" s="119"/>
      <c r="E3266" s="116"/>
      <c r="F3266" s="108"/>
      <c r="G3266" s="117"/>
      <c r="H3266" s="117"/>
      <c r="I3266" s="111"/>
    </row>
    <row r="3267" spans="3:9" ht="16.5" customHeight="1" x14ac:dyDescent="0.25">
      <c r="C3267" s="222" t="s">
        <v>2545</v>
      </c>
      <c r="D3267" s="277" t="s">
        <v>2546</v>
      </c>
      <c r="E3267" s="168">
        <v>114477328000</v>
      </c>
      <c r="F3267" s="113">
        <f>+F3268+F3298+F3303+F3318+F3325+F3338+F3355+F3367+F3376+F3397+F3401+F3406+F3411</f>
        <v>105158329480</v>
      </c>
      <c r="G3267" s="502">
        <f t="shared" ref="G3267:G3296" si="196">F3267/E3267*100</f>
        <v>91.859524778565756</v>
      </c>
      <c r="H3267" s="114">
        <f>(+H3269+H3303+H3325+H3338+H3355+H3367+H3376+H3397+H3401+H3406+H3411)/11</f>
        <v>78.636750474859085</v>
      </c>
      <c r="I3267" s="111"/>
    </row>
    <row r="3268" spans="3:9" ht="16.5" hidden="1" customHeight="1" x14ac:dyDescent="0.25">
      <c r="C3268" s="222"/>
      <c r="D3268" s="277" t="s">
        <v>2547</v>
      </c>
      <c r="E3268" s="120">
        <v>34343198400</v>
      </c>
      <c r="F3268" s="113">
        <f>+F3269</f>
        <v>21542088500</v>
      </c>
      <c r="G3268" s="503">
        <f t="shared" si="196"/>
        <v>62.725923919770963</v>
      </c>
      <c r="H3268" s="117">
        <f t="shared" ref="H3268:H3331" si="197">+G3268</f>
        <v>62.725923919770963</v>
      </c>
      <c r="I3268" s="111"/>
    </row>
    <row r="3269" spans="3:9" ht="16.5" hidden="1" customHeight="1" x14ac:dyDescent="0.25">
      <c r="C3269" s="222"/>
      <c r="D3269" s="277" t="s">
        <v>2548</v>
      </c>
      <c r="E3269" s="120">
        <v>22713198400</v>
      </c>
      <c r="F3269" s="504">
        <f>+F3270+F3276+F3284+F3287</f>
        <v>21542088500</v>
      </c>
      <c r="G3269" s="503">
        <f t="shared" si="196"/>
        <v>94.843923434402782</v>
      </c>
      <c r="H3269" s="117">
        <f t="shared" si="197"/>
        <v>94.843923434402782</v>
      </c>
      <c r="I3269" s="111"/>
    </row>
    <row r="3270" spans="3:9" ht="16.5" hidden="1" customHeight="1" x14ac:dyDescent="0.25">
      <c r="C3270" s="222"/>
      <c r="D3270" s="277" t="s">
        <v>109</v>
      </c>
      <c r="E3270" s="256">
        <v>2400000000</v>
      </c>
      <c r="F3270" s="504">
        <f>SUM(F3271:F3275)</f>
        <v>2186997500</v>
      </c>
      <c r="G3270" s="503">
        <f t="shared" si="196"/>
        <v>91.124895833333326</v>
      </c>
      <c r="H3270" s="117">
        <f t="shared" si="197"/>
        <v>91.124895833333326</v>
      </c>
      <c r="I3270" s="111"/>
    </row>
    <row r="3271" spans="3:9" ht="16.5" hidden="1" customHeight="1" x14ac:dyDescent="0.25">
      <c r="C3271" s="222"/>
      <c r="D3271" s="278" t="s">
        <v>2549</v>
      </c>
      <c r="E3271" s="107">
        <v>150000000</v>
      </c>
      <c r="F3271" s="505">
        <v>150000000</v>
      </c>
      <c r="G3271" s="503">
        <f t="shared" si="196"/>
        <v>100</v>
      </c>
      <c r="H3271" s="117">
        <f t="shared" si="197"/>
        <v>100</v>
      </c>
      <c r="I3271" s="111"/>
    </row>
    <row r="3272" spans="3:9" ht="16.5" hidden="1" customHeight="1" x14ac:dyDescent="0.25">
      <c r="C3272" s="222"/>
      <c r="D3272" s="278" t="s">
        <v>2550</v>
      </c>
      <c r="E3272" s="107">
        <v>500000000</v>
      </c>
      <c r="F3272" s="505">
        <v>408738000</v>
      </c>
      <c r="G3272" s="503">
        <f t="shared" si="196"/>
        <v>81.747599999999991</v>
      </c>
      <c r="H3272" s="117">
        <f t="shared" si="197"/>
        <v>81.747599999999991</v>
      </c>
      <c r="I3272" s="111"/>
    </row>
    <row r="3273" spans="3:9" ht="16.5" hidden="1" customHeight="1" x14ac:dyDescent="0.25">
      <c r="C3273" s="222"/>
      <c r="D3273" s="278" t="s">
        <v>2551</v>
      </c>
      <c r="E3273" s="107">
        <v>500000000</v>
      </c>
      <c r="F3273" s="505">
        <v>498850000</v>
      </c>
      <c r="G3273" s="503">
        <f t="shared" si="196"/>
        <v>99.77000000000001</v>
      </c>
      <c r="H3273" s="117">
        <f t="shared" si="197"/>
        <v>99.77000000000001</v>
      </c>
      <c r="I3273" s="111"/>
    </row>
    <row r="3274" spans="3:9" ht="16.5" hidden="1" customHeight="1" x14ac:dyDescent="0.25">
      <c r="C3274" s="222"/>
      <c r="D3274" s="278" t="s">
        <v>2552</v>
      </c>
      <c r="E3274" s="107">
        <v>500000000</v>
      </c>
      <c r="F3274" s="505">
        <v>419109500</v>
      </c>
      <c r="G3274" s="503">
        <f t="shared" si="196"/>
        <v>83.821899999999999</v>
      </c>
      <c r="H3274" s="117">
        <f t="shared" si="197"/>
        <v>83.821899999999999</v>
      </c>
      <c r="I3274" s="111"/>
    </row>
    <row r="3275" spans="3:9" ht="16.5" hidden="1" customHeight="1" x14ac:dyDescent="0.25">
      <c r="C3275" s="222"/>
      <c r="D3275" s="278" t="s">
        <v>2553</v>
      </c>
      <c r="E3275" s="107">
        <v>750000000</v>
      </c>
      <c r="F3275" s="505">
        <v>710300000</v>
      </c>
      <c r="G3275" s="503">
        <f t="shared" si="196"/>
        <v>94.706666666666663</v>
      </c>
      <c r="H3275" s="117">
        <f t="shared" si="197"/>
        <v>94.706666666666663</v>
      </c>
      <c r="I3275" s="111"/>
    </row>
    <row r="3276" spans="3:9" ht="16.5" hidden="1" customHeight="1" x14ac:dyDescent="0.25">
      <c r="C3276" s="222"/>
      <c r="D3276" s="277" t="s">
        <v>797</v>
      </c>
      <c r="E3276" s="120">
        <v>7973198400</v>
      </c>
      <c r="F3276" s="504">
        <f>SUM(F3277:F3283)</f>
        <v>7865278400</v>
      </c>
      <c r="G3276" s="503">
        <f t="shared" si="196"/>
        <v>98.646465388344026</v>
      </c>
      <c r="H3276" s="117">
        <f t="shared" si="197"/>
        <v>98.646465388344026</v>
      </c>
      <c r="I3276" s="111"/>
    </row>
    <row r="3277" spans="3:9" ht="16.5" hidden="1" customHeight="1" x14ac:dyDescent="0.25">
      <c r="C3277" s="222"/>
      <c r="D3277" s="278" t="s">
        <v>2554</v>
      </c>
      <c r="E3277" s="107">
        <v>250000000</v>
      </c>
      <c r="F3277" s="505">
        <v>249500000</v>
      </c>
      <c r="G3277" s="503">
        <f t="shared" si="196"/>
        <v>99.8</v>
      </c>
      <c r="H3277" s="117">
        <f t="shared" si="197"/>
        <v>99.8</v>
      </c>
      <c r="I3277" s="111"/>
    </row>
    <row r="3278" spans="3:9" ht="16.5" hidden="1" customHeight="1" x14ac:dyDescent="0.25">
      <c r="C3278" s="222"/>
      <c r="D3278" s="278" t="s">
        <v>2555</v>
      </c>
      <c r="E3278" s="107">
        <v>500000000</v>
      </c>
      <c r="F3278" s="243">
        <v>975250000</v>
      </c>
      <c r="G3278" s="503">
        <f t="shared" si="196"/>
        <v>195.04999999999998</v>
      </c>
      <c r="H3278" s="117">
        <f t="shared" si="197"/>
        <v>195.04999999999998</v>
      </c>
      <c r="I3278" s="111"/>
    </row>
    <row r="3279" spans="3:9" ht="16.5" hidden="1" customHeight="1" x14ac:dyDescent="0.25">
      <c r="C3279" s="222"/>
      <c r="D3279" s="278" t="s">
        <v>2556</v>
      </c>
      <c r="E3279" s="107">
        <v>2000000000</v>
      </c>
      <c r="F3279" s="505">
        <v>1988950000</v>
      </c>
      <c r="G3279" s="503">
        <f t="shared" si="196"/>
        <v>99.447500000000005</v>
      </c>
      <c r="H3279" s="117">
        <f t="shared" si="197"/>
        <v>99.447500000000005</v>
      </c>
      <c r="I3279" s="111"/>
    </row>
    <row r="3280" spans="3:9" ht="16.5" hidden="1" customHeight="1" x14ac:dyDescent="0.25">
      <c r="C3280" s="222"/>
      <c r="D3280" s="278" t="s">
        <v>2557</v>
      </c>
      <c r="E3280" s="107">
        <v>1623198400</v>
      </c>
      <c r="F3280" s="505">
        <v>1614698400</v>
      </c>
      <c r="G3280" s="503">
        <f t="shared" si="196"/>
        <v>99.476342509948253</v>
      </c>
      <c r="H3280" s="117">
        <f t="shared" si="197"/>
        <v>99.476342509948253</v>
      </c>
      <c r="I3280" s="111"/>
    </row>
    <row r="3281" spans="3:9" ht="16.5" hidden="1" customHeight="1" x14ac:dyDescent="0.25">
      <c r="C3281" s="222"/>
      <c r="D3281" s="278" t="s">
        <v>2558</v>
      </c>
      <c r="E3281" s="107">
        <v>500000000</v>
      </c>
      <c r="F3281" s="505"/>
      <c r="G3281" s="503">
        <f t="shared" si="196"/>
        <v>0</v>
      </c>
      <c r="H3281" s="117">
        <f t="shared" si="197"/>
        <v>0</v>
      </c>
      <c r="I3281" s="111"/>
    </row>
    <row r="3282" spans="3:9" ht="16.5" hidden="1" customHeight="1" x14ac:dyDescent="0.25">
      <c r="C3282" s="222"/>
      <c r="D3282" s="278" t="s">
        <v>2559</v>
      </c>
      <c r="E3282" s="107">
        <v>900000000</v>
      </c>
      <c r="F3282" s="505">
        <v>836880000</v>
      </c>
      <c r="G3282" s="503">
        <f t="shared" si="196"/>
        <v>92.986666666666665</v>
      </c>
      <c r="H3282" s="117">
        <f t="shared" si="197"/>
        <v>92.986666666666665</v>
      </c>
      <c r="I3282" s="111"/>
    </row>
    <row r="3283" spans="3:9" ht="16.5" hidden="1" customHeight="1" x14ac:dyDescent="0.25">
      <c r="C3283" s="222"/>
      <c r="D3283" s="278" t="s">
        <v>2560</v>
      </c>
      <c r="E3283" s="107">
        <v>2200000000</v>
      </c>
      <c r="F3283" s="505">
        <v>2200000000</v>
      </c>
      <c r="G3283" s="503">
        <f t="shared" si="196"/>
        <v>100</v>
      </c>
      <c r="H3283" s="117">
        <f t="shared" si="197"/>
        <v>100</v>
      </c>
      <c r="I3283" s="111"/>
    </row>
    <row r="3284" spans="3:9" ht="16.5" hidden="1" customHeight="1" x14ac:dyDescent="0.25">
      <c r="C3284" s="222"/>
      <c r="D3284" s="277" t="s">
        <v>92</v>
      </c>
      <c r="E3284" s="120">
        <v>2050000000</v>
      </c>
      <c r="F3284" s="504">
        <f>SUM(F3285:F3286)</f>
        <v>1568076000</v>
      </c>
      <c r="G3284" s="503">
        <f t="shared" si="196"/>
        <v>76.491512195121942</v>
      </c>
      <c r="H3284" s="117">
        <f t="shared" si="197"/>
        <v>76.491512195121942</v>
      </c>
      <c r="I3284" s="111"/>
    </row>
    <row r="3285" spans="3:9" ht="16.5" hidden="1" customHeight="1" x14ac:dyDescent="0.25">
      <c r="C3285" s="222"/>
      <c r="D3285" s="278" t="s">
        <v>2561</v>
      </c>
      <c r="E3285" s="107">
        <v>550000000</v>
      </c>
      <c r="F3285" s="505">
        <v>478900000</v>
      </c>
      <c r="G3285" s="503">
        <f t="shared" si="196"/>
        <v>87.072727272727263</v>
      </c>
      <c r="H3285" s="117">
        <f t="shared" si="197"/>
        <v>87.072727272727263</v>
      </c>
      <c r="I3285" s="111"/>
    </row>
    <row r="3286" spans="3:9" ht="16.5" hidden="1" customHeight="1" x14ac:dyDescent="0.25">
      <c r="C3286" s="222"/>
      <c r="D3286" s="278" t="s">
        <v>2562</v>
      </c>
      <c r="E3286" s="107">
        <v>1500000000</v>
      </c>
      <c r="F3286" s="505">
        <v>1089176000</v>
      </c>
      <c r="G3286" s="503">
        <f t="shared" si="196"/>
        <v>72.611733333333333</v>
      </c>
      <c r="H3286" s="117">
        <f t="shared" si="197"/>
        <v>72.611733333333333</v>
      </c>
      <c r="I3286" s="111"/>
    </row>
    <row r="3287" spans="3:9" ht="16.5" hidden="1" customHeight="1" x14ac:dyDescent="0.25">
      <c r="C3287" s="222"/>
      <c r="D3287" s="277" t="s">
        <v>680</v>
      </c>
      <c r="E3287" s="120">
        <v>10290000000</v>
      </c>
      <c r="F3287" s="504">
        <f>SUM(F3288:F3296)</f>
        <v>9921736600</v>
      </c>
      <c r="G3287" s="503">
        <f t="shared" si="196"/>
        <v>96.421152575315844</v>
      </c>
      <c r="H3287" s="117">
        <f t="shared" si="197"/>
        <v>96.421152575315844</v>
      </c>
      <c r="I3287" s="111"/>
    </row>
    <row r="3288" spans="3:9" ht="16.5" hidden="1" customHeight="1" x14ac:dyDescent="0.25">
      <c r="C3288" s="222"/>
      <c r="D3288" s="278" t="s">
        <v>2563</v>
      </c>
      <c r="E3288" s="107">
        <v>1000000000</v>
      </c>
      <c r="F3288" s="505">
        <v>999900000</v>
      </c>
      <c r="G3288" s="503">
        <f t="shared" si="196"/>
        <v>99.99</v>
      </c>
      <c r="H3288" s="117">
        <f t="shared" si="197"/>
        <v>99.99</v>
      </c>
      <c r="I3288" s="111"/>
    </row>
    <row r="3289" spans="3:9" ht="16.5" hidden="1" customHeight="1" x14ac:dyDescent="0.25">
      <c r="C3289" s="222"/>
      <c r="D3289" s="278" t="s">
        <v>2564</v>
      </c>
      <c r="E3289" s="107">
        <v>340000000</v>
      </c>
      <c r="F3289" s="505">
        <v>0</v>
      </c>
      <c r="G3289" s="503">
        <f t="shared" si="196"/>
        <v>0</v>
      </c>
      <c r="H3289" s="117">
        <f t="shared" si="197"/>
        <v>0</v>
      </c>
      <c r="I3289" s="111"/>
    </row>
    <row r="3290" spans="3:9" ht="16.5" hidden="1" customHeight="1" x14ac:dyDescent="0.25">
      <c r="C3290" s="222"/>
      <c r="D3290" s="278" t="s">
        <v>2565</v>
      </c>
      <c r="E3290" s="107">
        <v>150000000</v>
      </c>
      <c r="F3290" s="505">
        <v>149830000</v>
      </c>
      <c r="G3290" s="503">
        <f t="shared" si="196"/>
        <v>99.88666666666667</v>
      </c>
      <c r="H3290" s="117">
        <f t="shared" si="197"/>
        <v>99.88666666666667</v>
      </c>
      <c r="I3290" s="111"/>
    </row>
    <row r="3291" spans="3:9" ht="16.5" hidden="1" customHeight="1" x14ac:dyDescent="0.25">
      <c r="C3291" s="222"/>
      <c r="D3291" s="278" t="s">
        <v>2566</v>
      </c>
      <c r="E3291" s="107">
        <v>2500000000</v>
      </c>
      <c r="F3291" s="505">
        <v>2492700000</v>
      </c>
      <c r="G3291" s="503">
        <f t="shared" si="196"/>
        <v>99.707999999999998</v>
      </c>
      <c r="H3291" s="117">
        <f t="shared" si="197"/>
        <v>99.707999999999998</v>
      </c>
      <c r="I3291" s="111"/>
    </row>
    <row r="3292" spans="3:9" ht="16.5" hidden="1" customHeight="1" x14ac:dyDescent="0.25">
      <c r="C3292" s="222"/>
      <c r="D3292" s="278" t="s">
        <v>2567</v>
      </c>
      <c r="E3292" s="107">
        <v>1500000000</v>
      </c>
      <c r="F3292" s="505">
        <v>1491700000</v>
      </c>
      <c r="G3292" s="503">
        <f t="shared" si="196"/>
        <v>99.446666666666673</v>
      </c>
      <c r="H3292" s="117">
        <f t="shared" si="197"/>
        <v>99.446666666666673</v>
      </c>
      <c r="I3292" s="111"/>
    </row>
    <row r="3293" spans="3:9" ht="16.5" hidden="1" customHeight="1" x14ac:dyDescent="0.25">
      <c r="C3293" s="222"/>
      <c r="D3293" s="278" t="s">
        <v>2568</v>
      </c>
      <c r="E3293" s="107">
        <v>750000000</v>
      </c>
      <c r="F3293" s="505">
        <v>749450000</v>
      </c>
      <c r="G3293" s="503">
        <f t="shared" si="196"/>
        <v>99.926666666666662</v>
      </c>
      <c r="H3293" s="117">
        <f t="shared" si="197"/>
        <v>99.926666666666662</v>
      </c>
      <c r="I3293" s="111"/>
    </row>
    <row r="3294" spans="3:9" ht="16.5" hidden="1" customHeight="1" x14ac:dyDescent="0.25">
      <c r="C3294" s="222"/>
      <c r="D3294" s="278" t="s">
        <v>2569</v>
      </c>
      <c r="E3294" s="107">
        <v>2000000000</v>
      </c>
      <c r="F3294" s="505">
        <v>1995148000</v>
      </c>
      <c r="G3294" s="503">
        <f t="shared" si="196"/>
        <v>99.75739999999999</v>
      </c>
      <c r="H3294" s="117">
        <f t="shared" si="197"/>
        <v>99.75739999999999</v>
      </c>
      <c r="I3294" s="111"/>
    </row>
    <row r="3295" spans="3:9" ht="16.5" hidden="1" customHeight="1" x14ac:dyDescent="0.25">
      <c r="C3295" s="222"/>
      <c r="D3295" s="278" t="s">
        <v>2570</v>
      </c>
      <c r="E3295" s="107">
        <v>1000000000</v>
      </c>
      <c r="F3295" s="505">
        <v>993458600</v>
      </c>
      <c r="G3295" s="503">
        <f t="shared" si="196"/>
        <v>99.345860000000002</v>
      </c>
      <c r="H3295" s="117">
        <f t="shared" si="197"/>
        <v>99.345860000000002</v>
      </c>
      <c r="I3295" s="111"/>
    </row>
    <row r="3296" spans="3:9" ht="16.5" hidden="1" customHeight="1" x14ac:dyDescent="0.25">
      <c r="C3296" s="222"/>
      <c r="D3296" s="278" t="s">
        <v>2571</v>
      </c>
      <c r="E3296" s="107">
        <v>1050000000</v>
      </c>
      <c r="F3296" s="505">
        <v>1049550000</v>
      </c>
      <c r="G3296" s="503">
        <f t="shared" si="196"/>
        <v>99.957142857142856</v>
      </c>
      <c r="H3296" s="117">
        <f t="shared" si="197"/>
        <v>99.957142857142856</v>
      </c>
      <c r="I3296" s="111"/>
    </row>
    <row r="3297" spans="3:9" ht="16.5" hidden="1" customHeight="1" x14ac:dyDescent="0.25">
      <c r="C3297" s="222"/>
      <c r="D3297" s="278"/>
      <c r="E3297" s="107"/>
      <c r="F3297" s="108"/>
      <c r="G3297" s="117"/>
      <c r="H3297" s="117"/>
      <c r="I3297" s="111"/>
    </row>
    <row r="3298" spans="3:9" ht="16.5" hidden="1" customHeight="1" x14ac:dyDescent="0.25">
      <c r="C3298" s="222"/>
      <c r="D3298" s="277" t="s">
        <v>1138</v>
      </c>
      <c r="E3298" s="120">
        <v>11630000000</v>
      </c>
      <c r="F3298" s="113">
        <f>+F3299</f>
        <v>11630000000</v>
      </c>
      <c r="G3298" s="114">
        <f>+F3298/E3298*100</f>
        <v>100</v>
      </c>
      <c r="H3298" s="117">
        <f t="shared" si="197"/>
        <v>100</v>
      </c>
      <c r="I3298" s="111"/>
    </row>
    <row r="3299" spans="3:9" ht="16.5" hidden="1" customHeight="1" x14ac:dyDescent="0.25">
      <c r="C3299" s="222"/>
      <c r="D3299" s="277" t="s">
        <v>2564</v>
      </c>
      <c r="E3299" s="120">
        <v>11630000000</v>
      </c>
      <c r="F3299" s="108">
        <f>+F3300</f>
        <v>11630000000</v>
      </c>
      <c r="G3299" s="117">
        <f>+F3299/E3299*100</f>
        <v>100</v>
      </c>
      <c r="H3299" s="117">
        <f t="shared" si="197"/>
        <v>100</v>
      </c>
      <c r="I3299" s="111"/>
    </row>
    <row r="3300" spans="3:9" ht="16.5" hidden="1" customHeight="1" x14ac:dyDescent="0.25">
      <c r="C3300" s="222"/>
      <c r="D3300" s="278" t="s">
        <v>2572</v>
      </c>
      <c r="E3300" s="107">
        <v>11630000000</v>
      </c>
      <c r="F3300" s="505">
        <v>11630000000</v>
      </c>
      <c r="G3300" s="503">
        <f>F3300/E3300*100</f>
        <v>100</v>
      </c>
      <c r="H3300" s="117">
        <f t="shared" si="197"/>
        <v>100</v>
      </c>
      <c r="I3300" s="111"/>
    </row>
    <row r="3301" spans="3:9" ht="16.5" hidden="1" customHeight="1" x14ac:dyDescent="0.25">
      <c r="C3301" s="222"/>
      <c r="D3301" s="278"/>
      <c r="E3301" s="107"/>
      <c r="F3301" s="108"/>
      <c r="G3301" s="503"/>
      <c r="H3301" s="117"/>
      <c r="I3301" s="111"/>
    </row>
    <row r="3302" spans="3:9" ht="16.5" hidden="1" customHeight="1" x14ac:dyDescent="0.25">
      <c r="C3302" s="222"/>
      <c r="D3302" s="277" t="s">
        <v>1019</v>
      </c>
      <c r="E3302" s="120">
        <v>19549828018</v>
      </c>
      <c r="F3302" s="108"/>
      <c r="G3302" s="503">
        <f t="shared" ref="G3302:G3316" si="198">F3302/E3302*100</f>
        <v>0</v>
      </c>
      <c r="H3302" s="117">
        <f t="shared" si="197"/>
        <v>0</v>
      </c>
      <c r="I3302" s="111"/>
    </row>
    <row r="3303" spans="3:9" ht="16.5" hidden="1" customHeight="1" x14ac:dyDescent="0.25">
      <c r="C3303" s="222"/>
      <c r="D3303" s="277" t="s">
        <v>1020</v>
      </c>
      <c r="E3303" s="120">
        <v>11189828018</v>
      </c>
      <c r="F3303" s="504">
        <f>+F3304+F3306+F3309+F3315</f>
        <v>8872840000</v>
      </c>
      <c r="G3303" s="503">
        <f t="shared" si="198"/>
        <v>79.293801350003918</v>
      </c>
      <c r="H3303" s="117">
        <f t="shared" si="197"/>
        <v>79.293801350003918</v>
      </c>
      <c r="I3303" s="111"/>
    </row>
    <row r="3304" spans="3:9" ht="16.5" hidden="1" customHeight="1" x14ac:dyDescent="0.25">
      <c r="C3304" s="222"/>
      <c r="D3304" s="277" t="s">
        <v>156</v>
      </c>
      <c r="E3304" s="120">
        <v>2200000000</v>
      </c>
      <c r="F3304" s="504">
        <f>+F3305</f>
        <v>1950000000</v>
      </c>
      <c r="G3304" s="503">
        <f t="shared" si="198"/>
        <v>88.63636363636364</v>
      </c>
      <c r="H3304" s="117">
        <f t="shared" si="197"/>
        <v>88.63636363636364</v>
      </c>
      <c r="I3304" s="111"/>
    </row>
    <row r="3305" spans="3:9" ht="18.75" hidden="1" customHeight="1" x14ac:dyDescent="0.25">
      <c r="C3305" s="222"/>
      <c r="D3305" s="279" t="s">
        <v>2573</v>
      </c>
      <c r="E3305" s="107">
        <v>2200000000</v>
      </c>
      <c r="F3305" s="505">
        <v>1950000000</v>
      </c>
      <c r="G3305" s="503">
        <f t="shared" si="198"/>
        <v>88.63636363636364</v>
      </c>
      <c r="H3305" s="117">
        <f t="shared" si="197"/>
        <v>88.63636363636364</v>
      </c>
      <c r="I3305" s="111"/>
    </row>
    <row r="3306" spans="3:9" ht="16.5" hidden="1" customHeight="1" x14ac:dyDescent="0.25">
      <c r="C3306" s="222"/>
      <c r="D3306" s="277" t="s">
        <v>1737</v>
      </c>
      <c r="E3306" s="120">
        <v>3289828018</v>
      </c>
      <c r="F3306" s="504">
        <f>+F3307+F3308</f>
        <v>2774778000</v>
      </c>
      <c r="G3306" s="502">
        <f t="shared" si="198"/>
        <v>84.344165859675641</v>
      </c>
      <c r="H3306" s="117">
        <f t="shared" si="197"/>
        <v>84.344165859675641</v>
      </c>
      <c r="I3306" s="111"/>
    </row>
    <row r="3307" spans="3:9" ht="16.5" hidden="1" customHeight="1" x14ac:dyDescent="0.25">
      <c r="C3307" s="222"/>
      <c r="D3307" s="278" t="s">
        <v>2574</v>
      </c>
      <c r="E3307" s="107">
        <v>800000000</v>
      </c>
      <c r="F3307" s="505">
        <v>796800000</v>
      </c>
      <c r="G3307" s="503">
        <f t="shared" si="198"/>
        <v>99.6</v>
      </c>
      <c r="H3307" s="117">
        <f t="shared" si="197"/>
        <v>99.6</v>
      </c>
      <c r="I3307" s="111"/>
    </row>
    <row r="3308" spans="3:9" ht="16.5" hidden="1" customHeight="1" x14ac:dyDescent="0.25">
      <c r="C3308" s="222"/>
      <c r="D3308" s="278" t="s">
        <v>2575</v>
      </c>
      <c r="E3308" s="107">
        <v>2489828018</v>
      </c>
      <c r="F3308" s="505">
        <v>1977978000</v>
      </c>
      <c r="G3308" s="503">
        <f t="shared" si="198"/>
        <v>79.442354479922955</v>
      </c>
      <c r="H3308" s="117">
        <f t="shared" si="197"/>
        <v>79.442354479922955</v>
      </c>
      <c r="I3308" s="111"/>
    </row>
    <row r="3309" spans="3:9" ht="16.5" hidden="1" customHeight="1" x14ac:dyDescent="0.25">
      <c r="C3309" s="222"/>
      <c r="D3309" s="277" t="s">
        <v>182</v>
      </c>
      <c r="E3309" s="120">
        <v>2600000000</v>
      </c>
      <c r="F3309" s="504">
        <f>+F3310+F3311</f>
        <v>2426100000</v>
      </c>
      <c r="G3309" s="502">
        <f t="shared" si="198"/>
        <v>93.311538461538461</v>
      </c>
      <c r="H3309" s="117">
        <f t="shared" si="197"/>
        <v>93.311538461538461</v>
      </c>
      <c r="I3309" s="111"/>
    </row>
    <row r="3310" spans="3:9" ht="16.5" hidden="1" customHeight="1" x14ac:dyDescent="0.25">
      <c r="C3310" s="222"/>
      <c r="D3310" s="278" t="s">
        <v>2576</v>
      </c>
      <c r="E3310" s="107">
        <v>1100000000</v>
      </c>
      <c r="F3310" s="505">
        <v>926100000</v>
      </c>
      <c r="G3310" s="503">
        <f t="shared" si="198"/>
        <v>84.190909090909088</v>
      </c>
      <c r="H3310" s="117">
        <f t="shared" si="197"/>
        <v>84.190909090909088</v>
      </c>
      <c r="I3310" s="111"/>
    </row>
    <row r="3311" spans="3:9" ht="16.5" hidden="1" customHeight="1" x14ac:dyDescent="0.25">
      <c r="C3311" s="222"/>
      <c r="D3311" s="278" t="s">
        <v>2577</v>
      </c>
      <c r="E3311" s="107">
        <v>1500000000</v>
      </c>
      <c r="F3311" s="505">
        <v>1500000000</v>
      </c>
      <c r="G3311" s="503">
        <f t="shared" si="198"/>
        <v>100</v>
      </c>
      <c r="H3311" s="117">
        <f t="shared" si="197"/>
        <v>100</v>
      </c>
      <c r="I3311" s="111"/>
    </row>
    <row r="3312" spans="3:9" ht="16.5" hidden="1" customHeight="1" x14ac:dyDescent="0.25">
      <c r="C3312" s="222"/>
      <c r="D3312" s="277" t="s">
        <v>720</v>
      </c>
      <c r="E3312" s="120">
        <v>1200000000</v>
      </c>
      <c r="F3312" s="505">
        <f>+F3313+F3314</f>
        <v>1194960000</v>
      </c>
      <c r="G3312" s="503">
        <f t="shared" si="198"/>
        <v>99.58</v>
      </c>
      <c r="H3312" s="117">
        <f t="shared" si="197"/>
        <v>99.58</v>
      </c>
      <c r="I3312" s="111"/>
    </row>
    <row r="3313" spans="3:9" ht="16.5" hidden="1" customHeight="1" x14ac:dyDescent="0.25">
      <c r="C3313" s="222"/>
      <c r="D3313" s="278" t="s">
        <v>2578</v>
      </c>
      <c r="E3313" s="107">
        <v>200000000</v>
      </c>
      <c r="F3313" s="505">
        <v>200000000</v>
      </c>
      <c r="G3313" s="503">
        <f t="shared" si="198"/>
        <v>100</v>
      </c>
      <c r="H3313" s="117">
        <f t="shared" si="197"/>
        <v>100</v>
      </c>
      <c r="I3313" s="111"/>
    </row>
    <row r="3314" spans="3:9" ht="16.5" hidden="1" customHeight="1" x14ac:dyDescent="0.25">
      <c r="C3314" s="222"/>
      <c r="D3314" s="278" t="s">
        <v>2579</v>
      </c>
      <c r="E3314" s="107">
        <v>1000000000</v>
      </c>
      <c r="F3314" s="505">
        <v>994960000</v>
      </c>
      <c r="G3314" s="503">
        <f t="shared" si="198"/>
        <v>99.495999999999995</v>
      </c>
      <c r="H3314" s="117">
        <f t="shared" si="197"/>
        <v>99.495999999999995</v>
      </c>
      <c r="I3314" s="111"/>
    </row>
    <row r="3315" spans="3:9" ht="16.5" hidden="1" customHeight="1" x14ac:dyDescent="0.25">
      <c r="C3315" s="222"/>
      <c r="D3315" s="277" t="s">
        <v>177</v>
      </c>
      <c r="E3315" s="120">
        <v>1900000000</v>
      </c>
      <c r="F3315" s="504">
        <f>+F3316</f>
        <v>1721962000</v>
      </c>
      <c r="G3315" s="502">
        <f t="shared" si="198"/>
        <v>90.629578947368415</v>
      </c>
      <c r="H3315" s="117">
        <f t="shared" si="197"/>
        <v>90.629578947368415</v>
      </c>
      <c r="I3315" s="111"/>
    </row>
    <row r="3316" spans="3:9" ht="16.5" hidden="1" customHeight="1" x14ac:dyDescent="0.25">
      <c r="C3316" s="222"/>
      <c r="D3316" s="278" t="s">
        <v>836</v>
      </c>
      <c r="E3316" s="107">
        <v>1900000000</v>
      </c>
      <c r="F3316" s="505">
        <v>1721962000</v>
      </c>
      <c r="G3316" s="503">
        <f t="shared" si="198"/>
        <v>90.629578947368415</v>
      </c>
      <c r="H3316" s="117">
        <f t="shared" si="197"/>
        <v>90.629578947368415</v>
      </c>
      <c r="I3316" s="111"/>
    </row>
    <row r="3317" spans="3:9" ht="16.5" hidden="1" customHeight="1" x14ac:dyDescent="0.25">
      <c r="C3317" s="222"/>
      <c r="D3317" s="278"/>
      <c r="E3317" s="107"/>
      <c r="F3317" s="505"/>
      <c r="G3317" s="503"/>
      <c r="H3317" s="117"/>
      <c r="I3317" s="111"/>
    </row>
    <row r="3318" spans="3:9" ht="16.5" hidden="1" customHeight="1" x14ac:dyDescent="0.25">
      <c r="C3318" s="222"/>
      <c r="D3318" s="277" t="s">
        <v>1138</v>
      </c>
      <c r="E3318" s="120">
        <v>2680000000</v>
      </c>
      <c r="F3318" s="504">
        <f>+F3319</f>
        <v>2206150000</v>
      </c>
      <c r="G3318" s="503">
        <f t="shared" ref="G3318:G3323" si="199">F3318/E3318*100</f>
        <v>82.319029850746276</v>
      </c>
      <c r="H3318" s="117">
        <f t="shared" si="197"/>
        <v>82.319029850746276</v>
      </c>
      <c r="I3318" s="111"/>
    </row>
    <row r="3319" spans="3:9" ht="16.5" hidden="1" customHeight="1" x14ac:dyDescent="0.25">
      <c r="C3319" s="222"/>
      <c r="D3319" s="277" t="s">
        <v>2580</v>
      </c>
      <c r="E3319" s="120">
        <v>2680000000</v>
      </c>
      <c r="F3319" s="504">
        <f>+F3320+F3321+F3322+F3323</f>
        <v>2206150000</v>
      </c>
      <c r="G3319" s="503">
        <f t="shared" si="199"/>
        <v>82.319029850746276</v>
      </c>
      <c r="H3319" s="117">
        <f t="shared" si="197"/>
        <v>82.319029850746276</v>
      </c>
      <c r="I3319" s="111"/>
    </row>
    <row r="3320" spans="3:9" ht="16.5" hidden="1" customHeight="1" x14ac:dyDescent="0.25">
      <c r="C3320" s="222"/>
      <c r="D3320" s="278" t="s">
        <v>2581</v>
      </c>
      <c r="E3320" s="107">
        <v>780000000</v>
      </c>
      <c r="F3320" s="505">
        <v>326150000</v>
      </c>
      <c r="G3320" s="503">
        <f t="shared" si="199"/>
        <v>41.814102564102562</v>
      </c>
      <c r="H3320" s="117">
        <f t="shared" si="197"/>
        <v>41.814102564102562</v>
      </c>
      <c r="I3320" s="111"/>
    </row>
    <row r="3321" spans="3:9" ht="16.5" hidden="1" customHeight="1" x14ac:dyDescent="0.25">
      <c r="C3321" s="222"/>
      <c r="D3321" s="278" t="s">
        <v>2582</v>
      </c>
      <c r="E3321" s="107">
        <v>1100000000</v>
      </c>
      <c r="F3321" s="505">
        <v>1880000000</v>
      </c>
      <c r="G3321" s="503">
        <f t="shared" si="199"/>
        <v>170.90909090909091</v>
      </c>
      <c r="H3321" s="117">
        <f t="shared" si="197"/>
        <v>170.90909090909091</v>
      </c>
      <c r="I3321" s="111"/>
    </row>
    <row r="3322" spans="3:9" ht="16.5" hidden="1" customHeight="1" x14ac:dyDescent="0.25">
      <c r="C3322" s="222"/>
      <c r="D3322" s="278" t="s">
        <v>2583</v>
      </c>
      <c r="E3322" s="107">
        <v>300000000</v>
      </c>
      <c r="F3322" s="108"/>
      <c r="G3322" s="503">
        <f t="shared" si="199"/>
        <v>0</v>
      </c>
      <c r="H3322" s="117">
        <f t="shared" si="197"/>
        <v>0</v>
      </c>
      <c r="I3322" s="111"/>
    </row>
    <row r="3323" spans="3:9" ht="16.5" hidden="1" customHeight="1" x14ac:dyDescent="0.25">
      <c r="C3323" s="222"/>
      <c r="D3323" s="278" t="s">
        <v>2584</v>
      </c>
      <c r="E3323" s="107">
        <v>500000000</v>
      </c>
      <c r="F3323" s="108"/>
      <c r="G3323" s="503">
        <f t="shared" si="199"/>
        <v>0</v>
      </c>
      <c r="H3323" s="117">
        <f t="shared" si="197"/>
        <v>0</v>
      </c>
      <c r="I3323" s="111"/>
    </row>
    <row r="3324" spans="3:9" ht="16.5" hidden="1" customHeight="1" x14ac:dyDescent="0.25">
      <c r="C3324" s="222"/>
      <c r="D3324" s="278"/>
      <c r="E3324" s="107"/>
      <c r="F3324" s="108"/>
      <c r="G3324" s="503"/>
      <c r="H3324" s="117"/>
      <c r="I3324" s="111"/>
    </row>
    <row r="3325" spans="3:9" ht="16.5" hidden="1" customHeight="1" x14ac:dyDescent="0.25">
      <c r="C3325" s="222"/>
      <c r="D3325" s="277" t="s">
        <v>2098</v>
      </c>
      <c r="E3325" s="120">
        <v>5680000000</v>
      </c>
      <c r="F3325" s="504">
        <f>+F3326+F3329+F3334</f>
        <v>5317580000</v>
      </c>
      <c r="G3325" s="503">
        <f t="shared" ref="G3325:G3335" si="200">F3325/E3325*100</f>
        <v>93.619366197183098</v>
      </c>
      <c r="H3325" s="117">
        <f t="shared" si="197"/>
        <v>93.619366197183098</v>
      </c>
      <c r="I3325" s="111"/>
    </row>
    <row r="3326" spans="3:9" ht="16.5" hidden="1" customHeight="1" x14ac:dyDescent="0.25">
      <c r="C3326" s="222"/>
      <c r="D3326" s="277" t="s">
        <v>1737</v>
      </c>
      <c r="E3326" s="120">
        <v>3430000000</v>
      </c>
      <c r="F3326" s="504">
        <f>+F3327+F3328</f>
        <v>3100100000</v>
      </c>
      <c r="G3326" s="503">
        <f t="shared" si="200"/>
        <v>90.381924198250729</v>
      </c>
      <c r="H3326" s="117">
        <f t="shared" si="197"/>
        <v>90.381924198250729</v>
      </c>
      <c r="I3326" s="111"/>
    </row>
    <row r="3327" spans="3:9" ht="16.5" hidden="1" customHeight="1" x14ac:dyDescent="0.25">
      <c r="C3327" s="222"/>
      <c r="D3327" s="278" t="s">
        <v>2575</v>
      </c>
      <c r="E3327" s="107">
        <v>1250000000</v>
      </c>
      <c r="F3327" s="505">
        <v>932000000</v>
      </c>
      <c r="G3327" s="503">
        <f t="shared" si="200"/>
        <v>74.56</v>
      </c>
      <c r="H3327" s="117">
        <f t="shared" si="197"/>
        <v>74.56</v>
      </c>
      <c r="I3327" s="111"/>
    </row>
    <row r="3328" spans="3:9" ht="16.5" hidden="1" customHeight="1" x14ac:dyDescent="0.25">
      <c r="C3328" s="222"/>
      <c r="D3328" s="278" t="s">
        <v>2585</v>
      </c>
      <c r="E3328" s="107">
        <v>2180000000</v>
      </c>
      <c r="F3328" s="505">
        <v>2168100000</v>
      </c>
      <c r="G3328" s="503">
        <f t="shared" si="200"/>
        <v>99.454128440366972</v>
      </c>
      <c r="H3328" s="117">
        <f t="shared" si="197"/>
        <v>99.454128440366972</v>
      </c>
      <c r="I3328" s="111"/>
    </row>
    <row r="3329" spans="3:9" ht="16.5" hidden="1" customHeight="1" x14ac:dyDescent="0.25">
      <c r="C3329" s="222"/>
      <c r="D3329" s="277" t="s">
        <v>182</v>
      </c>
      <c r="E3329" s="120">
        <v>1950000000</v>
      </c>
      <c r="F3329" s="504">
        <f>+F3330+F3331+F3332+F3333</f>
        <v>1923453000</v>
      </c>
      <c r="G3329" s="503">
        <f t="shared" si="200"/>
        <v>98.638615384615377</v>
      </c>
      <c r="H3329" s="117">
        <f t="shared" si="197"/>
        <v>98.638615384615377</v>
      </c>
      <c r="I3329" s="111"/>
    </row>
    <row r="3330" spans="3:9" ht="16.5" hidden="1" customHeight="1" x14ac:dyDescent="0.25">
      <c r="C3330" s="222"/>
      <c r="D3330" s="278" t="s">
        <v>2586</v>
      </c>
      <c r="E3330" s="107">
        <v>800000000</v>
      </c>
      <c r="F3330" s="505">
        <v>779453000</v>
      </c>
      <c r="G3330" s="503">
        <f t="shared" si="200"/>
        <v>97.431624999999997</v>
      </c>
      <c r="H3330" s="117">
        <f t="shared" si="197"/>
        <v>97.431624999999997</v>
      </c>
      <c r="I3330" s="111"/>
    </row>
    <row r="3331" spans="3:9" ht="16.5" hidden="1" customHeight="1" x14ac:dyDescent="0.25">
      <c r="C3331" s="222"/>
      <c r="D3331" s="278" t="s">
        <v>2587</v>
      </c>
      <c r="E3331" s="107">
        <v>550000000</v>
      </c>
      <c r="F3331" s="505">
        <v>550000000</v>
      </c>
      <c r="G3331" s="503">
        <f t="shared" si="200"/>
        <v>100</v>
      </c>
      <c r="H3331" s="117">
        <f t="shared" si="197"/>
        <v>100</v>
      </c>
      <c r="I3331" s="111"/>
    </row>
    <row r="3332" spans="3:9" ht="16.5" hidden="1" customHeight="1" x14ac:dyDescent="0.25">
      <c r="C3332" s="222"/>
      <c r="D3332" s="278" t="s">
        <v>2588</v>
      </c>
      <c r="E3332" s="107">
        <v>300000000</v>
      </c>
      <c r="F3332" s="505">
        <v>294000000</v>
      </c>
      <c r="G3332" s="503">
        <f t="shared" si="200"/>
        <v>98</v>
      </c>
      <c r="H3332" s="117">
        <f t="shared" ref="H3332:H3395" si="201">+G3332</f>
        <v>98</v>
      </c>
      <c r="I3332" s="111"/>
    </row>
    <row r="3333" spans="3:9" ht="16.5" hidden="1" customHeight="1" x14ac:dyDescent="0.25">
      <c r="C3333" s="222"/>
      <c r="D3333" s="278" t="s">
        <v>2589</v>
      </c>
      <c r="E3333" s="107">
        <v>300000000</v>
      </c>
      <c r="F3333" s="505">
        <v>300000000</v>
      </c>
      <c r="G3333" s="503">
        <f t="shared" si="200"/>
        <v>100</v>
      </c>
      <c r="H3333" s="117">
        <f t="shared" si="201"/>
        <v>100</v>
      </c>
      <c r="I3333" s="111"/>
    </row>
    <row r="3334" spans="3:9" ht="16.5" hidden="1" customHeight="1" x14ac:dyDescent="0.25">
      <c r="C3334" s="222"/>
      <c r="D3334" s="277" t="s">
        <v>177</v>
      </c>
      <c r="E3334" s="120">
        <v>300000000</v>
      </c>
      <c r="F3334" s="504">
        <f>+F3335</f>
        <v>294027000</v>
      </c>
      <c r="G3334" s="503">
        <f t="shared" si="200"/>
        <v>98.009</v>
      </c>
      <c r="H3334" s="117">
        <f t="shared" si="201"/>
        <v>98.009</v>
      </c>
      <c r="I3334" s="111"/>
    </row>
    <row r="3335" spans="3:9" ht="16.5" hidden="1" customHeight="1" x14ac:dyDescent="0.25">
      <c r="C3335" s="222"/>
      <c r="D3335" s="278" t="s">
        <v>2590</v>
      </c>
      <c r="E3335" s="107">
        <v>300000000</v>
      </c>
      <c r="F3335" s="505">
        <v>294027000</v>
      </c>
      <c r="G3335" s="503">
        <f t="shared" si="200"/>
        <v>98.009</v>
      </c>
      <c r="H3335" s="117">
        <f t="shared" si="201"/>
        <v>98.009</v>
      </c>
      <c r="I3335" s="111"/>
    </row>
    <row r="3336" spans="3:9" ht="16.5" hidden="1" customHeight="1" x14ac:dyDescent="0.25">
      <c r="C3336" s="222"/>
      <c r="D3336" s="278"/>
      <c r="E3336" s="107"/>
      <c r="F3336" s="108"/>
      <c r="G3336" s="503"/>
      <c r="H3336" s="117"/>
      <c r="I3336" s="111"/>
    </row>
    <row r="3337" spans="3:9" ht="16.5" hidden="1" customHeight="1" x14ac:dyDescent="0.25">
      <c r="C3337" s="222"/>
      <c r="D3337" s="280" t="s">
        <v>2591</v>
      </c>
      <c r="E3337" s="120">
        <v>29219332000</v>
      </c>
      <c r="F3337" s="504"/>
      <c r="G3337" s="503">
        <f t="shared" ref="G3337:G3353" si="202">F3337/E3337*100</f>
        <v>0</v>
      </c>
      <c r="H3337" s="117">
        <f t="shared" si="201"/>
        <v>0</v>
      </c>
      <c r="I3337" s="111"/>
    </row>
    <row r="3338" spans="3:9" ht="16.5" hidden="1" customHeight="1" x14ac:dyDescent="0.25">
      <c r="C3338" s="222"/>
      <c r="D3338" s="277" t="s">
        <v>1982</v>
      </c>
      <c r="E3338" s="120">
        <v>23084332000</v>
      </c>
      <c r="F3338" s="504">
        <f>+F3339+F3341+F3345+F3347+F3350</f>
        <v>20363859200</v>
      </c>
      <c r="G3338" s="503">
        <f t="shared" si="202"/>
        <v>88.215068124994914</v>
      </c>
      <c r="H3338" s="117">
        <f t="shared" si="201"/>
        <v>88.215068124994914</v>
      </c>
      <c r="I3338" s="111"/>
    </row>
    <row r="3339" spans="3:9" ht="16.5" hidden="1" customHeight="1" x14ac:dyDescent="0.25">
      <c r="C3339" s="222"/>
      <c r="D3339" s="277" t="s">
        <v>470</v>
      </c>
      <c r="E3339" s="120">
        <v>2750000000</v>
      </c>
      <c r="F3339" s="504">
        <f>+F3340</f>
        <v>2653150000</v>
      </c>
      <c r="G3339" s="503">
        <f t="shared" si="202"/>
        <v>96.478181818181824</v>
      </c>
      <c r="H3339" s="117">
        <f t="shared" si="201"/>
        <v>96.478181818181824</v>
      </c>
      <c r="I3339" s="111"/>
    </row>
    <row r="3340" spans="3:9" ht="16.5" hidden="1" customHeight="1" x14ac:dyDescent="0.25">
      <c r="C3340" s="222"/>
      <c r="D3340" s="278" t="s">
        <v>2592</v>
      </c>
      <c r="E3340" s="107">
        <v>2750000000</v>
      </c>
      <c r="F3340" s="505">
        <v>2653150000</v>
      </c>
      <c r="G3340" s="503">
        <f t="shared" si="202"/>
        <v>96.478181818181824</v>
      </c>
      <c r="H3340" s="117">
        <f t="shared" si="201"/>
        <v>96.478181818181824</v>
      </c>
      <c r="I3340" s="111"/>
    </row>
    <row r="3341" spans="3:9" ht="16.5" hidden="1" customHeight="1" x14ac:dyDescent="0.25">
      <c r="C3341" s="222"/>
      <c r="D3341" s="277" t="s">
        <v>418</v>
      </c>
      <c r="E3341" s="120">
        <v>3390000000</v>
      </c>
      <c r="F3341" s="504">
        <f>+F3342+F3343+F3344</f>
        <v>3325252200</v>
      </c>
      <c r="G3341" s="503">
        <f t="shared" si="202"/>
        <v>98.090035398230086</v>
      </c>
      <c r="H3341" s="117">
        <f t="shared" si="201"/>
        <v>98.090035398230086</v>
      </c>
      <c r="I3341" s="111"/>
    </row>
    <row r="3342" spans="3:9" ht="16.5" hidden="1" customHeight="1" x14ac:dyDescent="0.25">
      <c r="C3342" s="222"/>
      <c r="D3342" s="278" t="s">
        <v>2593</v>
      </c>
      <c r="E3342" s="107">
        <v>480000000</v>
      </c>
      <c r="F3342" s="505">
        <v>479299200</v>
      </c>
      <c r="G3342" s="503">
        <f t="shared" si="202"/>
        <v>99.853999999999999</v>
      </c>
      <c r="H3342" s="117">
        <f t="shared" si="201"/>
        <v>99.853999999999999</v>
      </c>
      <c r="I3342" s="111"/>
    </row>
    <row r="3343" spans="3:9" ht="16.5" hidden="1" customHeight="1" x14ac:dyDescent="0.25">
      <c r="C3343" s="222"/>
      <c r="D3343" s="278" t="s">
        <v>2594</v>
      </c>
      <c r="E3343" s="107">
        <v>1440000000</v>
      </c>
      <c r="F3343" s="505">
        <v>1418079000</v>
      </c>
      <c r="G3343" s="503">
        <f t="shared" si="202"/>
        <v>98.477708333333339</v>
      </c>
      <c r="H3343" s="117">
        <f t="shared" si="201"/>
        <v>98.477708333333339</v>
      </c>
      <c r="I3343" s="111"/>
    </row>
    <row r="3344" spans="3:9" ht="16.5" hidden="1" customHeight="1" x14ac:dyDescent="0.25">
      <c r="C3344" s="222"/>
      <c r="D3344" s="278" t="s">
        <v>419</v>
      </c>
      <c r="E3344" s="107">
        <v>1470000000</v>
      </c>
      <c r="F3344" s="505">
        <v>1427874000</v>
      </c>
      <c r="G3344" s="503">
        <f t="shared" si="202"/>
        <v>97.134285714285724</v>
      </c>
      <c r="H3344" s="117">
        <f t="shared" si="201"/>
        <v>97.134285714285724</v>
      </c>
      <c r="I3344" s="111"/>
    </row>
    <row r="3345" spans="3:9" ht="16.5" hidden="1" customHeight="1" x14ac:dyDescent="0.25">
      <c r="C3345" s="222"/>
      <c r="D3345" s="277" t="s">
        <v>1433</v>
      </c>
      <c r="E3345" s="120">
        <v>1000000000</v>
      </c>
      <c r="F3345" s="504">
        <f>+F3346</f>
        <v>949980000</v>
      </c>
      <c r="G3345" s="503">
        <f t="shared" si="202"/>
        <v>94.998000000000005</v>
      </c>
      <c r="H3345" s="117">
        <f t="shared" si="201"/>
        <v>94.998000000000005</v>
      </c>
      <c r="I3345" s="111"/>
    </row>
    <row r="3346" spans="3:9" ht="16.5" hidden="1" customHeight="1" x14ac:dyDescent="0.25">
      <c r="C3346" s="222"/>
      <c r="D3346" s="278" t="s">
        <v>2595</v>
      </c>
      <c r="E3346" s="107">
        <v>1000000000</v>
      </c>
      <c r="F3346" s="505">
        <v>949980000</v>
      </c>
      <c r="G3346" s="503">
        <f t="shared" si="202"/>
        <v>94.998000000000005</v>
      </c>
      <c r="H3346" s="117">
        <f t="shared" si="201"/>
        <v>94.998000000000005</v>
      </c>
      <c r="I3346" s="111"/>
    </row>
    <row r="3347" spans="3:9" ht="16.5" hidden="1" customHeight="1" x14ac:dyDescent="0.25">
      <c r="C3347" s="222"/>
      <c r="D3347" s="277" t="s">
        <v>517</v>
      </c>
      <c r="E3347" s="120">
        <v>1544332000</v>
      </c>
      <c r="F3347" s="504">
        <f>+F3348+F3349</f>
        <v>1533177000</v>
      </c>
      <c r="G3347" s="503">
        <f t="shared" si="202"/>
        <v>99.27768122398551</v>
      </c>
      <c r="H3347" s="117">
        <f t="shared" si="201"/>
        <v>99.27768122398551</v>
      </c>
      <c r="I3347" s="111"/>
    </row>
    <row r="3348" spans="3:9" ht="16.5" hidden="1" customHeight="1" x14ac:dyDescent="0.25">
      <c r="C3348" s="222"/>
      <c r="D3348" s="278" t="s">
        <v>518</v>
      </c>
      <c r="E3348" s="107">
        <v>984332000</v>
      </c>
      <c r="F3348" s="505">
        <v>973267000</v>
      </c>
      <c r="G3348" s="503">
        <f t="shared" si="202"/>
        <v>98.875887403843421</v>
      </c>
      <c r="H3348" s="117">
        <f t="shared" si="201"/>
        <v>98.875887403843421</v>
      </c>
      <c r="I3348" s="111"/>
    </row>
    <row r="3349" spans="3:9" ht="16.5" hidden="1" customHeight="1" x14ac:dyDescent="0.25">
      <c r="C3349" s="222"/>
      <c r="D3349" s="278" t="s">
        <v>2596</v>
      </c>
      <c r="E3349" s="107">
        <v>560000000</v>
      </c>
      <c r="F3349" s="505">
        <v>559910000</v>
      </c>
      <c r="G3349" s="503">
        <f t="shared" si="202"/>
        <v>99.983928571428578</v>
      </c>
      <c r="H3349" s="117">
        <f t="shared" si="201"/>
        <v>99.983928571428578</v>
      </c>
      <c r="I3349" s="111"/>
    </row>
    <row r="3350" spans="3:9" ht="16.5" hidden="1" customHeight="1" x14ac:dyDescent="0.25">
      <c r="C3350" s="222"/>
      <c r="D3350" s="277" t="s">
        <v>496</v>
      </c>
      <c r="E3350" s="120">
        <v>14400000000</v>
      </c>
      <c r="F3350" s="504">
        <f>+F3351+F3352+F3353</f>
        <v>11902300000</v>
      </c>
      <c r="G3350" s="503">
        <f t="shared" si="202"/>
        <v>82.654861111111117</v>
      </c>
      <c r="H3350" s="117">
        <f t="shared" si="201"/>
        <v>82.654861111111117</v>
      </c>
      <c r="I3350" s="111"/>
    </row>
    <row r="3351" spans="3:9" ht="16.5" hidden="1" customHeight="1" x14ac:dyDescent="0.25">
      <c r="C3351" s="222"/>
      <c r="D3351" s="278" t="s">
        <v>2597</v>
      </c>
      <c r="E3351" s="107">
        <v>1300000000</v>
      </c>
      <c r="F3351" s="505">
        <v>1127781000</v>
      </c>
      <c r="G3351" s="503">
        <f t="shared" si="202"/>
        <v>86.752384615384614</v>
      </c>
      <c r="H3351" s="117">
        <f t="shared" si="201"/>
        <v>86.752384615384614</v>
      </c>
      <c r="I3351" s="111"/>
    </row>
    <row r="3352" spans="3:9" ht="16.5" hidden="1" customHeight="1" x14ac:dyDescent="0.25">
      <c r="C3352" s="222"/>
      <c r="D3352" s="278" t="s">
        <v>1764</v>
      </c>
      <c r="E3352" s="107">
        <v>10100000000</v>
      </c>
      <c r="F3352" s="505">
        <v>8378483000</v>
      </c>
      <c r="G3352" s="503">
        <f t="shared" si="202"/>
        <v>82.955277227722775</v>
      </c>
      <c r="H3352" s="117">
        <f t="shared" si="201"/>
        <v>82.955277227722775</v>
      </c>
      <c r="I3352" s="111"/>
    </row>
    <row r="3353" spans="3:9" ht="16.5" hidden="1" customHeight="1" x14ac:dyDescent="0.25">
      <c r="C3353" s="222"/>
      <c r="D3353" s="278" t="s">
        <v>2598</v>
      </c>
      <c r="E3353" s="107">
        <v>3000000000</v>
      </c>
      <c r="F3353" s="505">
        <v>2396036000</v>
      </c>
      <c r="G3353" s="503">
        <f t="shared" si="202"/>
        <v>79.867866666666671</v>
      </c>
      <c r="H3353" s="117">
        <f t="shared" si="201"/>
        <v>79.867866666666671</v>
      </c>
      <c r="I3353" s="111"/>
    </row>
    <row r="3354" spans="3:9" ht="16.5" hidden="1" customHeight="1" x14ac:dyDescent="0.25">
      <c r="C3354" s="222"/>
      <c r="D3354" s="278"/>
      <c r="E3354" s="107"/>
      <c r="F3354" s="108"/>
      <c r="G3354" s="503"/>
      <c r="H3354" s="117"/>
      <c r="I3354" s="111"/>
    </row>
    <row r="3355" spans="3:9" ht="16.5" hidden="1" customHeight="1" x14ac:dyDescent="0.25">
      <c r="C3355" s="222"/>
      <c r="D3355" s="277" t="s">
        <v>2599</v>
      </c>
      <c r="E3355" s="120">
        <v>6135000000</v>
      </c>
      <c r="F3355" s="504">
        <f>+F3356+F3358+F3361</f>
        <v>6096003600</v>
      </c>
      <c r="G3355" s="503">
        <f t="shared" ref="G3355:G3364" si="203">F3355/E3355*100</f>
        <v>99.364361858190705</v>
      </c>
      <c r="H3355" s="117">
        <f t="shared" si="201"/>
        <v>99.364361858190705</v>
      </c>
      <c r="I3355" s="111"/>
    </row>
    <row r="3356" spans="3:9" ht="16.5" hidden="1" customHeight="1" x14ac:dyDescent="0.25">
      <c r="C3356" s="222"/>
      <c r="D3356" s="277" t="s">
        <v>2500</v>
      </c>
      <c r="E3356" s="120">
        <v>260000000</v>
      </c>
      <c r="F3356" s="504">
        <f>+F3357</f>
        <v>256498600</v>
      </c>
      <c r="G3356" s="503">
        <f t="shared" si="203"/>
        <v>98.653307692307692</v>
      </c>
      <c r="H3356" s="117">
        <f t="shared" si="201"/>
        <v>98.653307692307692</v>
      </c>
      <c r="I3356" s="111"/>
    </row>
    <row r="3357" spans="3:9" ht="16.5" hidden="1" customHeight="1" x14ac:dyDescent="0.25">
      <c r="C3357" s="222"/>
      <c r="D3357" s="278" t="s">
        <v>2600</v>
      </c>
      <c r="E3357" s="107">
        <v>260000000</v>
      </c>
      <c r="F3357" s="505">
        <v>256498600</v>
      </c>
      <c r="G3357" s="503">
        <f t="shared" si="203"/>
        <v>98.653307692307692</v>
      </c>
      <c r="H3357" s="117">
        <f t="shared" si="201"/>
        <v>98.653307692307692</v>
      </c>
      <c r="I3357" s="111"/>
    </row>
    <row r="3358" spans="3:9" ht="16.5" hidden="1" customHeight="1" x14ac:dyDescent="0.25">
      <c r="C3358" s="222"/>
      <c r="D3358" s="277" t="s">
        <v>2601</v>
      </c>
      <c r="E3358" s="120">
        <v>1563000000</v>
      </c>
      <c r="F3358" s="504">
        <f>+F3359+F3360</f>
        <v>1548240000</v>
      </c>
      <c r="G3358" s="503">
        <f t="shared" si="203"/>
        <v>99.055662188099816</v>
      </c>
      <c r="H3358" s="117">
        <f t="shared" si="201"/>
        <v>99.055662188099816</v>
      </c>
      <c r="I3358" s="111"/>
    </row>
    <row r="3359" spans="3:9" ht="16.5" hidden="1" customHeight="1" x14ac:dyDescent="0.25">
      <c r="C3359" s="222"/>
      <c r="D3359" s="278" t="s">
        <v>2602</v>
      </c>
      <c r="E3359" s="107">
        <v>646000000</v>
      </c>
      <c r="F3359" s="505">
        <v>640630000</v>
      </c>
      <c r="G3359" s="503">
        <f t="shared" si="203"/>
        <v>99.168730650154799</v>
      </c>
      <c r="H3359" s="117">
        <f t="shared" si="201"/>
        <v>99.168730650154799</v>
      </c>
      <c r="I3359" s="111"/>
    </row>
    <row r="3360" spans="3:9" ht="16.5" hidden="1" customHeight="1" x14ac:dyDescent="0.25">
      <c r="C3360" s="222"/>
      <c r="D3360" s="278" t="s">
        <v>2603</v>
      </c>
      <c r="E3360" s="107">
        <v>917000000</v>
      </c>
      <c r="F3360" s="505">
        <v>907610000</v>
      </c>
      <c r="G3360" s="503">
        <f t="shared" si="203"/>
        <v>98.976008724100325</v>
      </c>
      <c r="H3360" s="117">
        <f t="shared" si="201"/>
        <v>98.976008724100325</v>
      </c>
      <c r="I3360" s="111"/>
    </row>
    <row r="3361" spans="3:9" ht="16.5" hidden="1" customHeight="1" x14ac:dyDescent="0.25">
      <c r="C3361" s="222"/>
      <c r="D3361" s="277" t="s">
        <v>364</v>
      </c>
      <c r="E3361" s="120">
        <v>4312000000</v>
      </c>
      <c r="F3361" s="504">
        <f>+F3362+F3363+F3364</f>
        <v>4291265000</v>
      </c>
      <c r="G3361" s="503">
        <f t="shared" si="203"/>
        <v>99.51913265306122</v>
      </c>
      <c r="H3361" s="117">
        <f t="shared" si="201"/>
        <v>99.51913265306122</v>
      </c>
      <c r="I3361" s="111"/>
    </row>
    <row r="3362" spans="3:9" ht="16.5" hidden="1" customHeight="1" x14ac:dyDescent="0.25">
      <c r="C3362" s="222"/>
      <c r="D3362" s="278" t="s">
        <v>2604</v>
      </c>
      <c r="E3362" s="107">
        <v>675000000</v>
      </c>
      <c r="F3362" s="505">
        <v>674900000</v>
      </c>
      <c r="G3362" s="503">
        <f t="shared" si="203"/>
        <v>99.985185185185188</v>
      </c>
      <c r="H3362" s="117">
        <f t="shared" si="201"/>
        <v>99.985185185185188</v>
      </c>
      <c r="I3362" s="111"/>
    </row>
    <row r="3363" spans="3:9" ht="16.5" hidden="1" customHeight="1" x14ac:dyDescent="0.25">
      <c r="C3363" s="222"/>
      <c r="D3363" s="278" t="s">
        <v>2605</v>
      </c>
      <c r="E3363" s="107">
        <v>611000000</v>
      </c>
      <c r="F3363" s="505">
        <v>609600000</v>
      </c>
      <c r="G3363" s="503">
        <f t="shared" si="203"/>
        <v>99.770867430441896</v>
      </c>
      <c r="H3363" s="117">
        <f t="shared" si="201"/>
        <v>99.770867430441896</v>
      </c>
      <c r="I3363" s="111"/>
    </row>
    <row r="3364" spans="3:9" ht="16.5" hidden="1" customHeight="1" x14ac:dyDescent="0.25">
      <c r="C3364" s="222"/>
      <c r="D3364" s="278" t="s">
        <v>1101</v>
      </c>
      <c r="E3364" s="107">
        <v>3026000000</v>
      </c>
      <c r="F3364" s="505">
        <v>3006765000</v>
      </c>
      <c r="G3364" s="503">
        <f t="shared" si="203"/>
        <v>99.364342366159946</v>
      </c>
      <c r="H3364" s="117">
        <f t="shared" si="201"/>
        <v>99.364342366159946</v>
      </c>
      <c r="I3364" s="111"/>
    </row>
    <row r="3365" spans="3:9" ht="16.5" hidden="1" customHeight="1" x14ac:dyDescent="0.25">
      <c r="C3365" s="222"/>
      <c r="D3365" s="278"/>
      <c r="E3365" s="107"/>
      <c r="F3365" s="108"/>
      <c r="G3365" s="503"/>
      <c r="H3365" s="117"/>
      <c r="I3365" s="111"/>
    </row>
    <row r="3366" spans="3:9" ht="16.5" hidden="1" customHeight="1" x14ac:dyDescent="0.25">
      <c r="C3366" s="222"/>
      <c r="D3366" s="277" t="s">
        <v>2606</v>
      </c>
      <c r="E3366" s="120">
        <v>22295465598</v>
      </c>
      <c r="F3366" s="504"/>
      <c r="G3366" s="503"/>
      <c r="H3366" s="117">
        <f t="shared" si="201"/>
        <v>0</v>
      </c>
      <c r="I3366" s="111"/>
    </row>
    <row r="3367" spans="3:9" ht="16.5" hidden="1" customHeight="1" x14ac:dyDescent="0.25">
      <c r="C3367" s="222"/>
      <c r="D3367" s="277" t="s">
        <v>2607</v>
      </c>
      <c r="E3367" s="120">
        <v>22295465598</v>
      </c>
      <c r="F3367" s="504">
        <f>+F3368+F3370+F3372</f>
        <v>22260728000</v>
      </c>
      <c r="G3367" s="502">
        <f t="shared" ref="G3367:G3373" si="204">F3367/E3367*100</f>
        <v>99.844194336972649</v>
      </c>
      <c r="H3367" s="117">
        <f t="shared" si="201"/>
        <v>99.844194336972649</v>
      </c>
      <c r="I3367" s="111"/>
    </row>
    <row r="3368" spans="3:9" ht="16.5" hidden="1" customHeight="1" x14ac:dyDescent="0.25">
      <c r="C3368" s="222"/>
      <c r="D3368" s="277" t="s">
        <v>1740</v>
      </c>
      <c r="E3368" s="120">
        <v>3895465618</v>
      </c>
      <c r="F3368" s="504">
        <f>+F3369</f>
        <v>3884856000</v>
      </c>
      <c r="G3368" s="502">
        <f t="shared" si="204"/>
        <v>99.727641852337868</v>
      </c>
      <c r="H3368" s="117">
        <f t="shared" si="201"/>
        <v>99.727641852337868</v>
      </c>
      <c r="I3368" s="111"/>
    </row>
    <row r="3369" spans="3:9" ht="33" hidden="1" customHeight="1" x14ac:dyDescent="0.25">
      <c r="C3369" s="222"/>
      <c r="D3369" s="279" t="s">
        <v>2608</v>
      </c>
      <c r="E3369" s="107">
        <v>3895465618</v>
      </c>
      <c r="F3369" s="505">
        <v>3884856000</v>
      </c>
      <c r="G3369" s="503">
        <f t="shared" si="204"/>
        <v>99.727641852337868</v>
      </c>
      <c r="H3369" s="117">
        <f t="shared" si="201"/>
        <v>99.727641852337868</v>
      </c>
      <c r="I3369" s="111"/>
    </row>
    <row r="3370" spans="3:9" ht="16.5" hidden="1" customHeight="1" x14ac:dyDescent="0.25">
      <c r="C3370" s="222"/>
      <c r="D3370" s="277" t="s">
        <v>726</v>
      </c>
      <c r="E3370" s="120">
        <v>6000000000</v>
      </c>
      <c r="F3370" s="504">
        <f>+F3371</f>
        <v>5980452000</v>
      </c>
      <c r="G3370" s="502">
        <f t="shared" si="204"/>
        <v>99.674199999999999</v>
      </c>
      <c r="H3370" s="117">
        <f t="shared" si="201"/>
        <v>99.674199999999999</v>
      </c>
      <c r="I3370" s="111"/>
    </row>
    <row r="3371" spans="3:9" ht="16.5" hidden="1" customHeight="1" x14ac:dyDescent="0.25">
      <c r="C3371" s="222"/>
      <c r="D3371" s="278" t="s">
        <v>2609</v>
      </c>
      <c r="E3371" s="107">
        <v>6000000000</v>
      </c>
      <c r="F3371" s="505">
        <v>5980452000</v>
      </c>
      <c r="G3371" s="503">
        <f t="shared" si="204"/>
        <v>99.674199999999999</v>
      </c>
      <c r="H3371" s="117">
        <f t="shared" si="201"/>
        <v>99.674199999999999</v>
      </c>
      <c r="I3371" s="111"/>
    </row>
    <row r="3372" spans="3:9" ht="16.5" hidden="1" customHeight="1" x14ac:dyDescent="0.25">
      <c r="C3372" s="222"/>
      <c r="D3372" s="277" t="s">
        <v>729</v>
      </c>
      <c r="E3372" s="120">
        <v>12399999980</v>
      </c>
      <c r="F3372" s="504">
        <f>+F3373</f>
        <v>12395420000</v>
      </c>
      <c r="G3372" s="502">
        <f t="shared" si="204"/>
        <v>99.963064677359782</v>
      </c>
      <c r="H3372" s="117">
        <f t="shared" si="201"/>
        <v>99.963064677359782</v>
      </c>
      <c r="I3372" s="111"/>
    </row>
    <row r="3373" spans="3:9" ht="16.5" hidden="1" customHeight="1" x14ac:dyDescent="0.25">
      <c r="C3373" s="222"/>
      <c r="D3373" s="278" t="s">
        <v>2610</v>
      </c>
      <c r="E3373" s="107">
        <v>12399999980</v>
      </c>
      <c r="F3373" s="505">
        <v>12395420000</v>
      </c>
      <c r="G3373" s="503">
        <f t="shared" si="204"/>
        <v>99.963064677359782</v>
      </c>
      <c r="H3373" s="117">
        <f t="shared" si="201"/>
        <v>99.963064677359782</v>
      </c>
      <c r="I3373" s="111"/>
    </row>
    <row r="3374" spans="3:9" ht="16.5" hidden="1" customHeight="1" x14ac:dyDescent="0.25">
      <c r="C3374" s="222"/>
      <c r="D3374" s="278"/>
      <c r="E3374" s="107"/>
      <c r="F3374" s="113"/>
      <c r="G3374" s="503"/>
      <c r="H3374" s="117"/>
      <c r="I3374" s="111"/>
    </row>
    <row r="3375" spans="3:9" ht="16.5" hidden="1" customHeight="1" x14ac:dyDescent="0.25">
      <c r="C3375" s="222"/>
      <c r="D3375" s="277" t="s">
        <v>2611</v>
      </c>
      <c r="E3375" s="120">
        <v>6779957424</v>
      </c>
      <c r="F3375" s="504"/>
      <c r="G3375" s="503"/>
      <c r="H3375" s="117">
        <f t="shared" si="201"/>
        <v>0</v>
      </c>
      <c r="I3375" s="111"/>
    </row>
    <row r="3376" spans="3:9" ht="27.75" hidden="1" customHeight="1" x14ac:dyDescent="0.25">
      <c r="C3376" s="222"/>
      <c r="D3376" s="280" t="s">
        <v>2612</v>
      </c>
      <c r="E3376" s="256">
        <v>4629957424</v>
      </c>
      <c r="F3376" s="504">
        <f>+F3377+F3379+F3384+F3387+F3389</f>
        <v>4391112680</v>
      </c>
      <c r="G3376" s="502">
        <f t="shared" ref="G3376:G3395" si="205">F3376/E3376*100</f>
        <v>94.841318782718901</v>
      </c>
      <c r="H3376" s="114">
        <f t="shared" si="201"/>
        <v>94.841318782718901</v>
      </c>
      <c r="I3376" s="111"/>
    </row>
    <row r="3377" spans="3:9" ht="16.5" hidden="1" customHeight="1" x14ac:dyDescent="0.25">
      <c r="C3377" s="222"/>
      <c r="D3377" s="277" t="s">
        <v>744</v>
      </c>
      <c r="E3377" s="120">
        <v>258639680</v>
      </c>
      <c r="F3377" s="504">
        <f>+F3378</f>
        <v>257139680</v>
      </c>
      <c r="G3377" s="502">
        <f t="shared" si="205"/>
        <v>99.420042585886279</v>
      </c>
      <c r="H3377" s="114">
        <f t="shared" si="201"/>
        <v>99.420042585886279</v>
      </c>
      <c r="I3377" s="111"/>
    </row>
    <row r="3378" spans="3:9" ht="16.5" hidden="1" customHeight="1" x14ac:dyDescent="0.25">
      <c r="C3378" s="222"/>
      <c r="D3378" s="278" t="s">
        <v>2613</v>
      </c>
      <c r="E3378" s="107">
        <v>258639680</v>
      </c>
      <c r="F3378" s="505">
        <v>257139680</v>
      </c>
      <c r="G3378" s="503">
        <f t="shared" si="205"/>
        <v>99.420042585886279</v>
      </c>
      <c r="H3378" s="117">
        <f t="shared" si="201"/>
        <v>99.420042585886279</v>
      </c>
      <c r="I3378" s="111"/>
    </row>
    <row r="3379" spans="3:9" ht="16.5" hidden="1" customHeight="1" x14ac:dyDescent="0.25">
      <c r="C3379" s="222"/>
      <c r="D3379" s="277" t="s">
        <v>2614</v>
      </c>
      <c r="E3379" s="120">
        <v>1000000000</v>
      </c>
      <c r="F3379" s="504">
        <f>+F3380+F3381</f>
        <v>967950000</v>
      </c>
      <c r="G3379" s="502">
        <f t="shared" si="205"/>
        <v>96.795000000000002</v>
      </c>
      <c r="H3379" s="114">
        <f t="shared" si="201"/>
        <v>96.795000000000002</v>
      </c>
      <c r="I3379" s="111"/>
    </row>
    <row r="3380" spans="3:9" ht="16.5" hidden="1" customHeight="1" x14ac:dyDescent="0.25">
      <c r="C3380" s="222"/>
      <c r="D3380" s="278" t="s">
        <v>2615</v>
      </c>
      <c r="E3380" s="107">
        <v>500000000</v>
      </c>
      <c r="F3380" s="505">
        <v>499050000</v>
      </c>
      <c r="G3380" s="503">
        <f t="shared" si="205"/>
        <v>99.81</v>
      </c>
      <c r="H3380" s="117">
        <f t="shared" si="201"/>
        <v>99.81</v>
      </c>
      <c r="I3380" s="111"/>
    </row>
    <row r="3381" spans="3:9" ht="16.5" hidden="1" customHeight="1" x14ac:dyDescent="0.25">
      <c r="C3381" s="222"/>
      <c r="D3381" s="278" t="s">
        <v>2616</v>
      </c>
      <c r="E3381" s="107">
        <v>500000000</v>
      </c>
      <c r="F3381" s="505">
        <v>468900000</v>
      </c>
      <c r="G3381" s="503">
        <f t="shared" si="205"/>
        <v>93.78</v>
      </c>
      <c r="H3381" s="117">
        <f t="shared" si="201"/>
        <v>93.78</v>
      </c>
      <c r="I3381" s="111"/>
    </row>
    <row r="3382" spans="3:9" ht="27" hidden="1" customHeight="1" x14ac:dyDescent="0.25">
      <c r="C3382" s="222"/>
      <c r="D3382" s="280" t="s">
        <v>2617</v>
      </c>
      <c r="E3382" s="120">
        <v>161317744</v>
      </c>
      <c r="F3382" s="505">
        <f>+F3383</f>
        <v>161300000</v>
      </c>
      <c r="G3382" s="503">
        <f t="shared" si="205"/>
        <v>99.98900059004049</v>
      </c>
      <c r="H3382" s="117">
        <f t="shared" si="201"/>
        <v>99.98900059004049</v>
      </c>
      <c r="I3382" s="111"/>
    </row>
    <row r="3383" spans="3:9" ht="16.5" hidden="1" customHeight="1" x14ac:dyDescent="0.25">
      <c r="C3383" s="222"/>
      <c r="D3383" s="278" t="s">
        <v>2618</v>
      </c>
      <c r="E3383" s="107">
        <v>161317744</v>
      </c>
      <c r="F3383" s="505">
        <v>161300000</v>
      </c>
      <c r="G3383" s="503">
        <f t="shared" si="205"/>
        <v>99.98900059004049</v>
      </c>
      <c r="H3383" s="117">
        <f t="shared" si="201"/>
        <v>99.98900059004049</v>
      </c>
      <c r="I3383" s="111"/>
    </row>
    <row r="3384" spans="3:9" ht="16.5" hidden="1" customHeight="1" x14ac:dyDescent="0.25">
      <c r="C3384" s="222"/>
      <c r="D3384" s="277" t="s">
        <v>343</v>
      </c>
      <c r="E3384" s="120">
        <v>700000000</v>
      </c>
      <c r="F3384" s="504">
        <f>+F3385+F3386</f>
        <v>682800000</v>
      </c>
      <c r="G3384" s="502">
        <f t="shared" si="205"/>
        <v>97.542857142857144</v>
      </c>
      <c r="H3384" s="114">
        <f t="shared" si="201"/>
        <v>97.542857142857144</v>
      </c>
      <c r="I3384" s="111"/>
    </row>
    <row r="3385" spans="3:9" ht="16.5" hidden="1" customHeight="1" x14ac:dyDescent="0.25">
      <c r="C3385" s="222"/>
      <c r="D3385" s="278" t="s">
        <v>2619</v>
      </c>
      <c r="E3385" s="107">
        <v>300000000</v>
      </c>
      <c r="F3385" s="505">
        <v>299400000</v>
      </c>
      <c r="G3385" s="503">
        <f t="shared" si="205"/>
        <v>99.8</v>
      </c>
      <c r="H3385" s="117">
        <f t="shared" si="201"/>
        <v>99.8</v>
      </c>
      <c r="I3385" s="111"/>
    </row>
    <row r="3386" spans="3:9" ht="16.5" hidden="1" customHeight="1" x14ac:dyDescent="0.25">
      <c r="C3386" s="222"/>
      <c r="D3386" s="278" t="s">
        <v>2620</v>
      </c>
      <c r="E3386" s="107">
        <v>400000000</v>
      </c>
      <c r="F3386" s="505">
        <v>383400000</v>
      </c>
      <c r="G3386" s="503">
        <f t="shared" si="205"/>
        <v>95.850000000000009</v>
      </c>
      <c r="H3386" s="117">
        <f t="shared" si="201"/>
        <v>95.850000000000009</v>
      </c>
      <c r="I3386" s="111"/>
    </row>
    <row r="3387" spans="3:9" ht="16.5" hidden="1" customHeight="1" x14ac:dyDescent="0.25">
      <c r="C3387" s="222"/>
      <c r="D3387" s="277" t="s">
        <v>1484</v>
      </c>
      <c r="E3387" s="120">
        <v>300000000</v>
      </c>
      <c r="F3387" s="504">
        <f>+F3388</f>
        <v>292298000</v>
      </c>
      <c r="G3387" s="502">
        <f t="shared" si="205"/>
        <v>97.432666666666663</v>
      </c>
      <c r="H3387" s="114">
        <f t="shared" si="201"/>
        <v>97.432666666666663</v>
      </c>
      <c r="I3387" s="111"/>
    </row>
    <row r="3388" spans="3:9" ht="16.5" hidden="1" customHeight="1" x14ac:dyDescent="0.25">
      <c r="C3388" s="222"/>
      <c r="D3388" s="278" t="s">
        <v>2621</v>
      </c>
      <c r="E3388" s="107">
        <v>300000000</v>
      </c>
      <c r="F3388" s="505">
        <v>292298000</v>
      </c>
      <c r="G3388" s="503">
        <f t="shared" si="205"/>
        <v>97.432666666666663</v>
      </c>
      <c r="H3388" s="117">
        <f t="shared" si="201"/>
        <v>97.432666666666663</v>
      </c>
      <c r="I3388" s="111"/>
    </row>
    <row r="3389" spans="3:9" ht="16.5" hidden="1" customHeight="1" x14ac:dyDescent="0.25">
      <c r="C3389" s="222"/>
      <c r="D3389" s="277" t="s">
        <v>2105</v>
      </c>
      <c r="E3389" s="120">
        <v>2210000000</v>
      </c>
      <c r="F3389" s="504">
        <f>+F3390+F3391+F3392+F3393+F3394+F3395</f>
        <v>2190925000</v>
      </c>
      <c r="G3389" s="502">
        <f t="shared" si="205"/>
        <v>99.13687782805431</v>
      </c>
      <c r="H3389" s="114">
        <f t="shared" si="201"/>
        <v>99.13687782805431</v>
      </c>
      <c r="I3389" s="111"/>
    </row>
    <row r="3390" spans="3:9" ht="16.5" hidden="1" customHeight="1" x14ac:dyDescent="0.25">
      <c r="C3390" s="222"/>
      <c r="D3390" s="278" t="s">
        <v>2622</v>
      </c>
      <c r="E3390" s="107">
        <v>210000000</v>
      </c>
      <c r="F3390" s="505">
        <v>210000000</v>
      </c>
      <c r="G3390" s="503">
        <f t="shared" si="205"/>
        <v>100</v>
      </c>
      <c r="H3390" s="117">
        <f t="shared" si="201"/>
        <v>100</v>
      </c>
      <c r="I3390" s="111"/>
    </row>
    <row r="3391" spans="3:9" ht="16.5" hidden="1" customHeight="1" x14ac:dyDescent="0.25">
      <c r="C3391" s="222"/>
      <c r="D3391" s="278" t="s">
        <v>2623</v>
      </c>
      <c r="E3391" s="107">
        <v>400000000</v>
      </c>
      <c r="F3391" s="505">
        <v>385000000</v>
      </c>
      <c r="G3391" s="503">
        <f t="shared" si="205"/>
        <v>96.25</v>
      </c>
      <c r="H3391" s="117">
        <f t="shared" si="201"/>
        <v>96.25</v>
      </c>
      <c r="I3391" s="111"/>
    </row>
    <row r="3392" spans="3:9" ht="16.5" hidden="1" customHeight="1" x14ac:dyDescent="0.25">
      <c r="C3392" s="222"/>
      <c r="D3392" s="278" t="s">
        <v>2624</v>
      </c>
      <c r="E3392" s="107">
        <v>300000000</v>
      </c>
      <c r="F3392" s="505">
        <v>300000000</v>
      </c>
      <c r="G3392" s="503">
        <f t="shared" si="205"/>
        <v>100</v>
      </c>
      <c r="H3392" s="117">
        <f t="shared" si="201"/>
        <v>100</v>
      </c>
      <c r="I3392" s="111"/>
    </row>
    <row r="3393" spans="3:9" ht="16.5" hidden="1" customHeight="1" x14ac:dyDescent="0.25">
      <c r="C3393" s="222"/>
      <c r="D3393" s="278" t="s">
        <v>2625</v>
      </c>
      <c r="E3393" s="107">
        <v>250000000</v>
      </c>
      <c r="F3393" s="505">
        <v>246900000</v>
      </c>
      <c r="G3393" s="503">
        <f t="shared" si="205"/>
        <v>98.76</v>
      </c>
      <c r="H3393" s="117">
        <f t="shared" si="201"/>
        <v>98.76</v>
      </c>
      <c r="I3393" s="111"/>
    </row>
    <row r="3394" spans="3:9" ht="16.5" hidden="1" customHeight="1" x14ac:dyDescent="0.25">
      <c r="C3394" s="222"/>
      <c r="D3394" s="278" t="s">
        <v>2626</v>
      </c>
      <c r="E3394" s="107">
        <v>500000000</v>
      </c>
      <c r="F3394" s="505">
        <v>499125000</v>
      </c>
      <c r="G3394" s="503">
        <f t="shared" si="205"/>
        <v>99.825000000000003</v>
      </c>
      <c r="H3394" s="117">
        <f t="shared" si="201"/>
        <v>99.825000000000003</v>
      </c>
      <c r="I3394" s="111"/>
    </row>
    <row r="3395" spans="3:9" ht="16.5" hidden="1" customHeight="1" x14ac:dyDescent="0.25">
      <c r="C3395" s="222"/>
      <c r="D3395" s="278" t="s">
        <v>2627</v>
      </c>
      <c r="E3395" s="107">
        <v>550000000</v>
      </c>
      <c r="F3395" s="505">
        <v>549900000</v>
      </c>
      <c r="G3395" s="503">
        <f t="shared" si="205"/>
        <v>99.981818181818184</v>
      </c>
      <c r="H3395" s="117">
        <f t="shared" si="201"/>
        <v>99.981818181818184</v>
      </c>
      <c r="I3395" s="111"/>
    </row>
    <row r="3396" spans="3:9" ht="16.5" hidden="1" customHeight="1" x14ac:dyDescent="0.25">
      <c r="C3396" s="222"/>
      <c r="D3396" s="278"/>
      <c r="E3396" s="107"/>
      <c r="F3396" s="108"/>
      <c r="G3396" s="503"/>
      <c r="H3396" s="117"/>
      <c r="I3396" s="111"/>
    </row>
    <row r="3397" spans="3:9" ht="16.5" hidden="1" customHeight="1" x14ac:dyDescent="0.25">
      <c r="C3397" s="222"/>
      <c r="D3397" s="277" t="s">
        <v>2548</v>
      </c>
      <c r="E3397" s="120">
        <v>1150000000</v>
      </c>
      <c r="F3397" s="504">
        <f>+F3398</f>
        <v>699825000</v>
      </c>
      <c r="G3397" s="502">
        <f>F3397/E3397*100</f>
        <v>60.854347826086951</v>
      </c>
      <c r="H3397" s="114">
        <f t="shared" ref="H3397:H3413" si="206">+G3397</f>
        <v>60.854347826086951</v>
      </c>
      <c r="I3397" s="111"/>
    </row>
    <row r="3398" spans="3:9" ht="16.5" hidden="1" customHeight="1" x14ac:dyDescent="0.25">
      <c r="C3398" s="222"/>
      <c r="D3398" s="277" t="s">
        <v>400</v>
      </c>
      <c r="E3398" s="120">
        <v>1150000000</v>
      </c>
      <c r="F3398" s="504">
        <f>+F3399</f>
        <v>699825000</v>
      </c>
      <c r="G3398" s="502">
        <f>F3398/E3398*100</f>
        <v>60.854347826086951</v>
      </c>
      <c r="H3398" s="114">
        <f t="shared" si="206"/>
        <v>60.854347826086951</v>
      </c>
      <c r="I3398" s="111"/>
    </row>
    <row r="3399" spans="3:9" ht="16.5" hidden="1" customHeight="1" x14ac:dyDescent="0.25">
      <c r="C3399" s="222"/>
      <c r="D3399" s="278" t="s">
        <v>2628</v>
      </c>
      <c r="E3399" s="107">
        <v>1150000000</v>
      </c>
      <c r="F3399" s="505">
        <v>699825000</v>
      </c>
      <c r="G3399" s="503">
        <f>F3399/E3399*100</f>
        <v>60.854347826086951</v>
      </c>
      <c r="H3399" s="117">
        <f t="shared" si="206"/>
        <v>60.854347826086951</v>
      </c>
      <c r="I3399" s="111"/>
    </row>
    <row r="3400" spans="3:9" ht="16.5" hidden="1" customHeight="1" x14ac:dyDescent="0.25">
      <c r="C3400" s="222"/>
      <c r="D3400" s="278"/>
      <c r="E3400" s="107"/>
      <c r="F3400" s="108"/>
      <c r="G3400" s="503"/>
      <c r="H3400" s="117"/>
      <c r="I3400" s="111"/>
    </row>
    <row r="3401" spans="3:9" ht="16.5" hidden="1" customHeight="1" x14ac:dyDescent="0.25">
      <c r="C3401" s="222"/>
      <c r="D3401" s="280" t="s">
        <v>1138</v>
      </c>
      <c r="E3401" s="120">
        <v>1000000000</v>
      </c>
      <c r="F3401" s="504">
        <f>+F3402</f>
        <v>130000000</v>
      </c>
      <c r="G3401" s="502">
        <f>F3401/E3401*100</f>
        <v>13</v>
      </c>
      <c r="H3401" s="114">
        <f t="shared" si="206"/>
        <v>13</v>
      </c>
      <c r="I3401" s="111"/>
    </row>
    <row r="3402" spans="3:9" ht="16.5" hidden="1" customHeight="1" x14ac:dyDescent="0.25">
      <c r="C3402" s="222"/>
      <c r="D3402" s="277" t="s">
        <v>2629</v>
      </c>
      <c r="E3402" s="120">
        <v>1000000000</v>
      </c>
      <c r="F3402" s="504">
        <f>+F3403</f>
        <v>130000000</v>
      </c>
      <c r="G3402" s="502">
        <f>F3402/E3402*100</f>
        <v>13</v>
      </c>
      <c r="H3402" s="114">
        <f t="shared" si="206"/>
        <v>13</v>
      </c>
      <c r="I3402" s="111"/>
    </row>
    <row r="3403" spans="3:9" ht="16.5" hidden="1" customHeight="1" x14ac:dyDescent="0.25">
      <c r="C3403" s="222"/>
      <c r="D3403" s="278" t="s">
        <v>2630</v>
      </c>
      <c r="E3403" s="107">
        <v>1000000000</v>
      </c>
      <c r="F3403" s="505">
        <v>130000000</v>
      </c>
      <c r="G3403" s="503">
        <f>F3403/E3403*100</f>
        <v>13</v>
      </c>
      <c r="H3403" s="117">
        <f t="shared" si="206"/>
        <v>13</v>
      </c>
      <c r="I3403" s="111"/>
    </row>
    <row r="3404" spans="3:9" ht="16.5" hidden="1" customHeight="1" x14ac:dyDescent="0.25">
      <c r="C3404" s="222"/>
      <c r="D3404" s="278"/>
      <c r="E3404" s="107"/>
      <c r="F3404" s="108"/>
      <c r="G3404" s="503"/>
      <c r="H3404" s="117"/>
      <c r="I3404" s="111"/>
    </row>
    <row r="3405" spans="3:9" ht="16.5" hidden="1" customHeight="1" x14ac:dyDescent="0.25">
      <c r="C3405" s="222"/>
      <c r="D3405" s="277" t="s">
        <v>2631</v>
      </c>
      <c r="E3405" s="120">
        <v>2289546560</v>
      </c>
      <c r="F3405" s="504"/>
      <c r="G3405" s="503">
        <f>F3405/E3405*100</f>
        <v>0</v>
      </c>
      <c r="H3405" s="117">
        <f t="shared" si="206"/>
        <v>0</v>
      </c>
      <c r="I3405" s="111"/>
    </row>
    <row r="3406" spans="3:9" ht="16.5" hidden="1" customHeight="1" x14ac:dyDescent="0.25">
      <c r="C3406" s="222"/>
      <c r="D3406" s="277" t="s">
        <v>2252</v>
      </c>
      <c r="E3406" s="120">
        <v>1489546560</v>
      </c>
      <c r="F3406" s="504">
        <f>+F3407</f>
        <v>1121393000</v>
      </c>
      <c r="G3406" s="502">
        <f>F3406/E3406*100</f>
        <v>75.28418581289597</v>
      </c>
      <c r="H3406" s="114">
        <f t="shared" si="206"/>
        <v>75.28418581289597</v>
      </c>
      <c r="I3406" s="111"/>
    </row>
    <row r="3407" spans="3:9" s="115" customFormat="1" ht="16.5" hidden="1" customHeight="1" x14ac:dyDescent="0.25">
      <c r="C3407" s="222"/>
      <c r="D3407" s="277" t="s">
        <v>792</v>
      </c>
      <c r="E3407" s="120">
        <v>1489546560</v>
      </c>
      <c r="F3407" s="504">
        <f>+F3408+F3409</f>
        <v>1121393000</v>
      </c>
      <c r="G3407" s="502">
        <f>F3407/E3407*100</f>
        <v>75.28418581289597</v>
      </c>
      <c r="H3407" s="114">
        <f t="shared" si="206"/>
        <v>75.28418581289597</v>
      </c>
      <c r="I3407" s="121"/>
    </row>
    <row r="3408" spans="3:9" ht="16.5" hidden="1" customHeight="1" x14ac:dyDescent="0.25">
      <c r="C3408" s="222"/>
      <c r="D3408" s="278" t="s">
        <v>1805</v>
      </c>
      <c r="E3408" s="107">
        <v>1100000000</v>
      </c>
      <c r="F3408" s="505">
        <v>731855000</v>
      </c>
      <c r="G3408" s="503">
        <f>F3408/E3408*100</f>
        <v>66.532272727272726</v>
      </c>
      <c r="H3408" s="117">
        <f t="shared" si="206"/>
        <v>66.532272727272726</v>
      </c>
      <c r="I3408" s="111"/>
    </row>
    <row r="3409" spans="3:9" ht="16.5" hidden="1" customHeight="1" x14ac:dyDescent="0.25">
      <c r="C3409" s="222"/>
      <c r="D3409" s="278" t="s">
        <v>2632</v>
      </c>
      <c r="E3409" s="107">
        <v>389546560</v>
      </c>
      <c r="F3409" s="505">
        <v>389538000</v>
      </c>
      <c r="G3409" s="503">
        <f>F3409/E3409*100</f>
        <v>99.997802573330389</v>
      </c>
      <c r="H3409" s="117">
        <f t="shared" si="206"/>
        <v>99.997802573330389</v>
      </c>
      <c r="I3409" s="111"/>
    </row>
    <row r="3410" spans="3:9" ht="16.5" hidden="1" customHeight="1" x14ac:dyDescent="0.25">
      <c r="C3410" s="222"/>
      <c r="D3410" s="278"/>
      <c r="E3410" s="107"/>
      <c r="F3410" s="108"/>
      <c r="G3410" s="503"/>
      <c r="H3410" s="117"/>
      <c r="I3410" s="111"/>
    </row>
    <row r="3411" spans="3:9" ht="16.5" hidden="1" customHeight="1" x14ac:dyDescent="0.25">
      <c r="C3411" s="222"/>
      <c r="D3411" s="277" t="s">
        <v>1152</v>
      </c>
      <c r="E3411" s="120">
        <v>800000000</v>
      </c>
      <c r="F3411" s="504">
        <f>+F3412</f>
        <v>526749500</v>
      </c>
      <c r="G3411" s="502">
        <f>F3411/E3411*100</f>
        <v>65.843687500000001</v>
      </c>
      <c r="H3411" s="114">
        <f t="shared" si="206"/>
        <v>65.843687500000001</v>
      </c>
      <c r="I3411" s="111"/>
    </row>
    <row r="3412" spans="3:9" ht="18.75" hidden="1" customHeight="1" x14ac:dyDescent="0.25">
      <c r="C3412" s="222"/>
      <c r="D3412" s="280" t="s">
        <v>789</v>
      </c>
      <c r="E3412" s="120">
        <v>800000000</v>
      </c>
      <c r="F3412" s="504">
        <f>+F3413</f>
        <v>526749500</v>
      </c>
      <c r="G3412" s="502">
        <f>F3412/E3412*100</f>
        <v>65.843687500000001</v>
      </c>
      <c r="H3412" s="114">
        <f t="shared" si="206"/>
        <v>65.843687500000001</v>
      </c>
      <c r="I3412" s="111"/>
    </row>
    <row r="3413" spans="3:9" ht="16.5" hidden="1" customHeight="1" x14ac:dyDescent="0.25">
      <c r="C3413" s="222"/>
      <c r="D3413" s="278" t="s">
        <v>1804</v>
      </c>
      <c r="E3413" s="107">
        <v>800000000</v>
      </c>
      <c r="F3413" s="505">
        <v>526749500</v>
      </c>
      <c r="G3413" s="503">
        <f>F3413/E3413*100</f>
        <v>65.843687500000001</v>
      </c>
      <c r="H3413" s="117">
        <f t="shared" si="206"/>
        <v>65.843687500000001</v>
      </c>
      <c r="I3413" s="111"/>
    </row>
    <row r="3414" spans="3:9" ht="16.5" hidden="1" customHeight="1" x14ac:dyDescent="0.25">
      <c r="C3414" s="222"/>
      <c r="D3414" s="48"/>
      <c r="E3414" s="107"/>
      <c r="F3414" s="108"/>
      <c r="G3414" s="117"/>
      <c r="H3414" s="117"/>
      <c r="I3414" s="111"/>
    </row>
    <row r="3415" spans="3:9" s="115" customFormat="1" ht="16.5" customHeight="1" x14ac:dyDescent="0.25">
      <c r="C3415" s="222" t="s">
        <v>2633</v>
      </c>
      <c r="D3415" s="281" t="s">
        <v>2634</v>
      </c>
      <c r="E3415" s="282">
        <f>+E3416+E3434+E3445+E3455+E3464+E3460+E3468+E3473+E3481+E3491+E3513+E3520+E3524+E3528+E3533+E3449</f>
        <v>121144049000</v>
      </c>
      <c r="F3415" s="282">
        <f>+F3416+F3434+F3445+F3455+F3449+F3460+F3464+F3468+F3473+F3481+F3491+F3513+F3520+F3524+F3528+F3533</f>
        <v>103705351681</v>
      </c>
      <c r="G3415" s="367">
        <f t="shared" ref="G3415:G3449" si="207">(F3415/E3415)*100</f>
        <v>85.604990535688628</v>
      </c>
      <c r="H3415" s="367">
        <f>(H3416+H3434+H3445+H3449+H3528+H3473+H3481+H3455+H3520+H3533+H3524+H3460+H3468+H3491+H3513+H3464)/16</f>
        <v>95.270833333333329</v>
      </c>
      <c r="I3415" s="121"/>
    </row>
    <row r="3416" spans="3:9" s="115" customFormat="1" ht="16.5" hidden="1" customHeight="1" x14ac:dyDescent="0.25">
      <c r="C3416" s="222"/>
      <c r="D3416" s="283" t="s">
        <v>977</v>
      </c>
      <c r="E3416" s="284">
        <f>E3417+E3421+E3427+E3430</f>
        <v>17566420700</v>
      </c>
      <c r="F3416" s="285">
        <f>F3417+F3421+F3427+F3430</f>
        <v>10488882400</v>
      </c>
      <c r="G3416" s="368">
        <f t="shared" si="207"/>
        <v>59.709844020757174</v>
      </c>
      <c r="H3416" s="368">
        <f>(H3417+H3421+H3427+H3430)/4</f>
        <v>88.25</v>
      </c>
      <c r="I3416" s="121"/>
    </row>
    <row r="3417" spans="3:9" ht="16.5" hidden="1" customHeight="1" x14ac:dyDescent="0.25">
      <c r="C3417" s="222"/>
      <c r="D3417" s="121" t="s">
        <v>797</v>
      </c>
      <c r="E3417" s="284">
        <f>SUM(E3418:E3420)</f>
        <v>2684288600</v>
      </c>
      <c r="F3417" s="285">
        <f>SUM(F3418:F3420)</f>
        <v>2675088600</v>
      </c>
      <c r="G3417" s="368">
        <f t="shared" si="207"/>
        <v>99.657264870848834</v>
      </c>
      <c r="H3417" s="368">
        <f>(H3418+H3419+H3420)/3</f>
        <v>100</v>
      </c>
      <c r="I3417" s="111"/>
    </row>
    <row r="3418" spans="3:9" ht="16.5" hidden="1" customHeight="1" x14ac:dyDescent="0.25">
      <c r="C3418" s="222"/>
      <c r="D3418" s="111" t="s">
        <v>2635</v>
      </c>
      <c r="E3418" s="286">
        <v>1222000000</v>
      </c>
      <c r="F3418" s="287">
        <v>1212800000</v>
      </c>
      <c r="G3418" s="369">
        <f t="shared" si="207"/>
        <v>99.247135842880525</v>
      </c>
      <c r="H3418" s="369">
        <v>100</v>
      </c>
      <c r="I3418" s="111"/>
    </row>
    <row r="3419" spans="3:9" ht="16.5" hidden="1" customHeight="1" x14ac:dyDescent="0.25">
      <c r="C3419" s="222"/>
      <c r="D3419" s="111" t="s">
        <v>1357</v>
      </c>
      <c r="E3419" s="286">
        <v>382288600</v>
      </c>
      <c r="F3419" s="287">
        <v>382288600</v>
      </c>
      <c r="G3419" s="369">
        <f t="shared" si="207"/>
        <v>100</v>
      </c>
      <c r="H3419" s="369">
        <v>100</v>
      </c>
      <c r="I3419" s="111"/>
    </row>
    <row r="3420" spans="3:9" ht="16.5" hidden="1" customHeight="1" x14ac:dyDescent="0.25">
      <c r="C3420" s="222"/>
      <c r="D3420" s="111" t="s">
        <v>1679</v>
      </c>
      <c r="E3420" s="286">
        <v>1080000000</v>
      </c>
      <c r="F3420" s="287">
        <v>1080000000</v>
      </c>
      <c r="G3420" s="369">
        <f t="shared" si="207"/>
        <v>100</v>
      </c>
      <c r="H3420" s="369">
        <v>100</v>
      </c>
      <c r="I3420" s="111"/>
    </row>
    <row r="3421" spans="3:9" ht="16.5" hidden="1" customHeight="1" x14ac:dyDescent="0.25">
      <c r="C3421" s="222"/>
      <c r="D3421" s="121" t="s">
        <v>680</v>
      </c>
      <c r="E3421" s="288">
        <f>SUM(E3422:E3426)</f>
        <v>11121061300</v>
      </c>
      <c r="F3421" s="288">
        <f>SUM(F3422:F3426)</f>
        <v>4237923000</v>
      </c>
      <c r="G3421" s="368">
        <f t="shared" si="207"/>
        <v>38.107181371259955</v>
      </c>
      <c r="H3421" s="367">
        <f>(H3422+H3423+H3424+H3425+H3426)/5</f>
        <v>63</v>
      </c>
      <c r="I3421" s="111"/>
    </row>
    <row r="3422" spans="3:9" ht="16.5" hidden="1" customHeight="1" x14ac:dyDescent="0.25">
      <c r="C3422" s="222"/>
      <c r="D3422" s="111" t="s">
        <v>2636</v>
      </c>
      <c r="E3422" s="286">
        <v>2130000000</v>
      </c>
      <c r="F3422" s="289">
        <v>0</v>
      </c>
      <c r="G3422" s="369">
        <f t="shared" si="207"/>
        <v>0</v>
      </c>
      <c r="H3422" s="369">
        <v>0</v>
      </c>
      <c r="I3422" s="111"/>
    </row>
    <row r="3423" spans="3:9" ht="16.5" hidden="1" customHeight="1" x14ac:dyDescent="0.25">
      <c r="C3423" s="222"/>
      <c r="D3423" s="111" t="s">
        <v>2637</v>
      </c>
      <c r="E3423" s="286">
        <v>3000000000</v>
      </c>
      <c r="F3423" s="287">
        <v>2988000000</v>
      </c>
      <c r="G3423" s="369">
        <f t="shared" si="207"/>
        <v>99.6</v>
      </c>
      <c r="H3423" s="369">
        <v>100</v>
      </c>
      <c r="I3423" s="111"/>
    </row>
    <row r="3424" spans="3:9" ht="16.5" hidden="1" customHeight="1" x14ac:dyDescent="0.25">
      <c r="C3424" s="222"/>
      <c r="D3424" s="111" t="s">
        <v>2638</v>
      </c>
      <c r="E3424" s="286">
        <v>810000000</v>
      </c>
      <c r="F3424" s="287">
        <v>512000000</v>
      </c>
      <c r="G3424" s="369">
        <f t="shared" si="207"/>
        <v>63.209876543209873</v>
      </c>
      <c r="H3424" s="369">
        <v>100</v>
      </c>
      <c r="I3424" s="111"/>
    </row>
    <row r="3425" spans="3:9" ht="16.5" hidden="1" customHeight="1" x14ac:dyDescent="0.25">
      <c r="C3425" s="222"/>
      <c r="D3425" s="111" t="s">
        <v>2639</v>
      </c>
      <c r="E3425" s="286">
        <v>4969138300</v>
      </c>
      <c r="F3425" s="287">
        <v>526000000</v>
      </c>
      <c r="G3425" s="369">
        <f t="shared" si="207"/>
        <v>10.585336294624764</v>
      </c>
      <c r="H3425" s="369">
        <v>15</v>
      </c>
      <c r="I3425" s="111"/>
    </row>
    <row r="3426" spans="3:9" ht="16.5" hidden="1" customHeight="1" x14ac:dyDescent="0.25">
      <c r="C3426" s="222"/>
      <c r="D3426" s="111" t="s">
        <v>2640</v>
      </c>
      <c r="E3426" s="286">
        <v>211923000</v>
      </c>
      <c r="F3426" s="287">
        <v>211923000</v>
      </c>
      <c r="G3426" s="369">
        <f t="shared" si="207"/>
        <v>100</v>
      </c>
      <c r="H3426" s="369">
        <v>100</v>
      </c>
      <c r="I3426" s="111"/>
    </row>
    <row r="3427" spans="3:9" ht="16.5" hidden="1" customHeight="1" x14ac:dyDescent="0.25">
      <c r="C3427" s="222"/>
      <c r="D3427" s="121" t="s">
        <v>693</v>
      </c>
      <c r="E3427" s="288">
        <f>SUM(E3428:E3429)</f>
        <v>2206070800</v>
      </c>
      <c r="F3427" s="288">
        <f>SUM(F3428:F3429)</f>
        <v>2020870800</v>
      </c>
      <c r="G3427" s="368">
        <f t="shared" si="207"/>
        <v>91.60498384729992</v>
      </c>
      <c r="H3427" s="368">
        <f>(H3428+H3429)/2</f>
        <v>90</v>
      </c>
      <c r="I3427" s="111"/>
    </row>
    <row r="3428" spans="3:9" ht="16.5" hidden="1" customHeight="1" x14ac:dyDescent="0.25">
      <c r="C3428" s="222"/>
      <c r="D3428" s="111" t="s">
        <v>2641</v>
      </c>
      <c r="E3428" s="286">
        <v>575000000</v>
      </c>
      <c r="F3428" s="287">
        <v>409000000</v>
      </c>
      <c r="G3428" s="369">
        <f t="shared" si="207"/>
        <v>71.130434782608702</v>
      </c>
      <c r="H3428" s="369">
        <v>80</v>
      </c>
      <c r="I3428" s="111"/>
    </row>
    <row r="3429" spans="3:9" ht="16.5" hidden="1" customHeight="1" x14ac:dyDescent="0.25">
      <c r="C3429" s="222"/>
      <c r="D3429" s="111" t="s">
        <v>2642</v>
      </c>
      <c r="E3429" s="286">
        <v>1631070800</v>
      </c>
      <c r="F3429" s="286">
        <v>1611870800</v>
      </c>
      <c r="G3429" s="369">
        <f t="shared" si="207"/>
        <v>98.822859191642692</v>
      </c>
      <c r="H3429" s="369">
        <v>100</v>
      </c>
      <c r="I3429" s="111"/>
    </row>
    <row r="3430" spans="3:9" ht="16.5" hidden="1" customHeight="1" x14ac:dyDescent="0.25">
      <c r="C3430" s="222"/>
      <c r="D3430" s="121" t="s">
        <v>92</v>
      </c>
      <c r="E3430" s="288">
        <f>SUM(E3431:E3432)</f>
        <v>1555000000</v>
      </c>
      <c r="F3430" s="288">
        <f>SUM(F3431:F3432)</f>
        <v>1555000000</v>
      </c>
      <c r="G3430" s="368">
        <f t="shared" si="207"/>
        <v>100</v>
      </c>
      <c r="H3430" s="368">
        <f>(H3431+H3432)/2</f>
        <v>100</v>
      </c>
      <c r="I3430" s="111"/>
    </row>
    <row r="3431" spans="3:9" ht="24.75" hidden="1" customHeight="1" x14ac:dyDescent="0.25">
      <c r="C3431" s="222"/>
      <c r="D3431" s="118" t="s">
        <v>2643</v>
      </c>
      <c r="E3431" s="286">
        <v>635000000</v>
      </c>
      <c r="F3431" s="287">
        <v>635000000</v>
      </c>
      <c r="G3431" s="369">
        <f t="shared" si="207"/>
        <v>100</v>
      </c>
      <c r="H3431" s="369">
        <v>100</v>
      </c>
      <c r="I3431" s="111"/>
    </row>
    <row r="3432" spans="3:9" ht="30" hidden="1" customHeight="1" x14ac:dyDescent="0.25">
      <c r="C3432" s="222"/>
      <c r="D3432" s="118" t="s">
        <v>2644</v>
      </c>
      <c r="E3432" s="286">
        <v>920000000</v>
      </c>
      <c r="F3432" s="287">
        <v>920000000</v>
      </c>
      <c r="G3432" s="369">
        <f t="shared" si="207"/>
        <v>100</v>
      </c>
      <c r="H3432" s="369">
        <v>100</v>
      </c>
      <c r="I3432" s="111"/>
    </row>
    <row r="3433" spans="3:9" ht="18" hidden="1" customHeight="1" x14ac:dyDescent="0.25">
      <c r="C3433" s="222"/>
      <c r="D3433" s="118"/>
      <c r="E3433" s="286"/>
      <c r="F3433" s="287"/>
      <c r="G3433" s="369"/>
      <c r="H3433" s="369"/>
      <c r="I3433" s="111"/>
    </row>
    <row r="3434" spans="3:9" ht="16.5" hidden="1" customHeight="1" x14ac:dyDescent="0.25">
      <c r="C3434" s="222"/>
      <c r="D3434" s="121" t="s">
        <v>1020</v>
      </c>
      <c r="E3434" s="288">
        <f>E3435+E3437+E3440+E3442</f>
        <v>18821607350</v>
      </c>
      <c r="F3434" s="288">
        <f>F3435+F3437+F3440+F3442</f>
        <v>16935783601</v>
      </c>
      <c r="G3434" s="368">
        <f t="shared" si="207"/>
        <v>89.980538250894924</v>
      </c>
      <c r="H3434" s="368">
        <f>(H3435+H3437+H3440+H3442)/4</f>
        <v>97.5</v>
      </c>
      <c r="I3434" s="111"/>
    </row>
    <row r="3435" spans="3:9" ht="16.5" hidden="1" customHeight="1" x14ac:dyDescent="0.25">
      <c r="C3435" s="222"/>
      <c r="D3435" s="121" t="s">
        <v>156</v>
      </c>
      <c r="E3435" s="288">
        <f>SUM(E3436:E3436)</f>
        <v>500000000</v>
      </c>
      <c r="F3435" s="288">
        <f>SUM(F3436:F3436)</f>
        <v>468901201</v>
      </c>
      <c r="G3435" s="368">
        <f t="shared" si="207"/>
        <v>93.780240199999994</v>
      </c>
      <c r="H3435" s="368">
        <f>(H3436)/1</f>
        <v>100</v>
      </c>
      <c r="I3435" s="111"/>
    </row>
    <row r="3436" spans="3:9" ht="16.5" hidden="1" customHeight="1" x14ac:dyDescent="0.25">
      <c r="C3436" s="222"/>
      <c r="D3436" s="111" t="s">
        <v>2645</v>
      </c>
      <c r="E3436" s="286">
        <v>500000000</v>
      </c>
      <c r="F3436" s="287">
        <v>468901201</v>
      </c>
      <c r="G3436" s="369">
        <f t="shared" si="207"/>
        <v>93.780240199999994</v>
      </c>
      <c r="H3436" s="369">
        <v>100</v>
      </c>
      <c r="I3436" s="111"/>
    </row>
    <row r="3437" spans="3:9" ht="16.5" hidden="1" customHeight="1" x14ac:dyDescent="0.25">
      <c r="C3437" s="222"/>
      <c r="D3437" s="121" t="s">
        <v>166</v>
      </c>
      <c r="E3437" s="288">
        <f>SUM(E3438:E3439)</f>
        <v>4123965850</v>
      </c>
      <c r="F3437" s="288">
        <f>SUM(F3438:F3439)</f>
        <v>4120535400</v>
      </c>
      <c r="G3437" s="368">
        <f t="shared" si="207"/>
        <v>99.916816721457579</v>
      </c>
      <c r="H3437" s="368">
        <f>(H3438+H3439)/2</f>
        <v>90</v>
      </c>
      <c r="I3437" s="111"/>
    </row>
    <row r="3438" spans="3:9" ht="16.5" hidden="1" customHeight="1" x14ac:dyDescent="0.25">
      <c r="C3438" s="222"/>
      <c r="D3438" s="111" t="s">
        <v>1719</v>
      </c>
      <c r="E3438" s="286">
        <v>650000000</v>
      </c>
      <c r="F3438" s="287">
        <v>650000000</v>
      </c>
      <c r="G3438" s="369">
        <f t="shared" si="207"/>
        <v>100</v>
      </c>
      <c r="H3438" s="369">
        <v>100</v>
      </c>
      <c r="I3438" s="111"/>
    </row>
    <row r="3439" spans="3:9" ht="16.5" hidden="1" customHeight="1" x14ac:dyDescent="0.25">
      <c r="C3439" s="222"/>
      <c r="D3439" s="118" t="s">
        <v>2646</v>
      </c>
      <c r="E3439" s="286">
        <v>3473965850</v>
      </c>
      <c r="F3439" s="287">
        <f>2738335400+732200000</f>
        <v>3470535400</v>
      </c>
      <c r="G3439" s="369">
        <f t="shared" si="207"/>
        <v>99.901252627454582</v>
      </c>
      <c r="H3439" s="369">
        <v>80</v>
      </c>
      <c r="I3439" s="111"/>
    </row>
    <row r="3440" spans="3:9" ht="16.5" hidden="1" customHeight="1" x14ac:dyDescent="0.25">
      <c r="C3440" s="222"/>
      <c r="D3440" s="121" t="s">
        <v>720</v>
      </c>
      <c r="E3440" s="288">
        <f>E3441</f>
        <v>10093641500</v>
      </c>
      <c r="F3440" s="288">
        <f>F3441</f>
        <v>8620897000</v>
      </c>
      <c r="G3440" s="368">
        <f t="shared" si="207"/>
        <v>85.409185574898814</v>
      </c>
      <c r="H3440" s="368">
        <f>H3441</f>
        <v>100</v>
      </c>
      <c r="I3440" s="111"/>
    </row>
    <row r="3441" spans="3:9" ht="16.5" hidden="1" customHeight="1" x14ac:dyDescent="0.25">
      <c r="C3441" s="222"/>
      <c r="D3441" s="111" t="s">
        <v>1733</v>
      </c>
      <c r="E3441" s="286">
        <v>10093641500</v>
      </c>
      <c r="F3441" s="287">
        <f>9353097000-732200000</f>
        <v>8620897000</v>
      </c>
      <c r="G3441" s="369">
        <f t="shared" si="207"/>
        <v>85.409185574898814</v>
      </c>
      <c r="H3441" s="369">
        <v>100</v>
      </c>
      <c r="I3441" s="111"/>
    </row>
    <row r="3442" spans="3:9" ht="16.5" hidden="1" customHeight="1" x14ac:dyDescent="0.25">
      <c r="C3442" s="222"/>
      <c r="D3442" s="121" t="s">
        <v>202</v>
      </c>
      <c r="E3442" s="288">
        <f>E3443</f>
        <v>4104000000</v>
      </c>
      <c r="F3442" s="288">
        <f>F3443</f>
        <v>3725450000</v>
      </c>
      <c r="G3442" s="368">
        <f t="shared" si="207"/>
        <v>90.77607212475634</v>
      </c>
      <c r="H3442" s="368">
        <f>H3443</f>
        <v>100</v>
      </c>
      <c r="I3442" s="111"/>
    </row>
    <row r="3443" spans="3:9" ht="16.5" hidden="1" customHeight="1" x14ac:dyDescent="0.25">
      <c r="C3443" s="222"/>
      <c r="D3443" s="111" t="s">
        <v>2647</v>
      </c>
      <c r="E3443" s="286">
        <v>4104000000</v>
      </c>
      <c r="F3443" s="287">
        <v>3725450000</v>
      </c>
      <c r="G3443" s="369">
        <f t="shared" si="207"/>
        <v>90.77607212475634</v>
      </c>
      <c r="H3443" s="369">
        <v>100</v>
      </c>
      <c r="I3443" s="111"/>
    </row>
    <row r="3444" spans="3:9" ht="16.5" hidden="1" customHeight="1" x14ac:dyDescent="0.25">
      <c r="C3444" s="222"/>
      <c r="D3444" s="111"/>
      <c r="E3444" s="286"/>
      <c r="F3444" s="287"/>
      <c r="G3444" s="369"/>
      <c r="H3444" s="369"/>
      <c r="I3444" s="111"/>
    </row>
    <row r="3445" spans="3:9" ht="16.5" hidden="1" customHeight="1" x14ac:dyDescent="0.25">
      <c r="C3445" s="222"/>
      <c r="D3445" s="121" t="s">
        <v>2648</v>
      </c>
      <c r="E3445" s="288">
        <f>E3446</f>
        <v>8000000000</v>
      </c>
      <c r="F3445" s="288">
        <f>F3446</f>
        <v>7915558000</v>
      </c>
      <c r="G3445" s="368">
        <f t="shared" si="207"/>
        <v>98.944474999999997</v>
      </c>
      <c r="H3445" s="368">
        <f>(H3446)/1</f>
        <v>100</v>
      </c>
      <c r="I3445" s="111"/>
    </row>
    <row r="3446" spans="3:9" ht="16.5" hidden="1" customHeight="1" x14ac:dyDescent="0.25">
      <c r="C3446" s="222"/>
      <c r="D3446" s="121" t="s">
        <v>855</v>
      </c>
      <c r="E3446" s="288">
        <f>E3447</f>
        <v>8000000000</v>
      </c>
      <c r="F3446" s="288">
        <f>F3447</f>
        <v>7915558000</v>
      </c>
      <c r="G3446" s="368">
        <f t="shared" si="207"/>
        <v>98.944474999999997</v>
      </c>
      <c r="H3446" s="368">
        <f>H3447</f>
        <v>100</v>
      </c>
      <c r="I3446" s="111"/>
    </row>
    <row r="3447" spans="3:9" ht="16.5" hidden="1" customHeight="1" x14ac:dyDescent="0.25">
      <c r="C3447" s="222"/>
      <c r="D3447" s="111" t="s">
        <v>1739</v>
      </c>
      <c r="E3447" s="286">
        <v>8000000000</v>
      </c>
      <c r="F3447" s="287">
        <v>7915558000</v>
      </c>
      <c r="G3447" s="369">
        <f t="shared" si="207"/>
        <v>98.944474999999997</v>
      </c>
      <c r="H3447" s="369">
        <v>100</v>
      </c>
      <c r="I3447" s="111"/>
    </row>
    <row r="3448" spans="3:9" ht="16.5" hidden="1" customHeight="1" x14ac:dyDescent="0.25">
      <c r="C3448" s="222"/>
      <c r="D3448" s="111"/>
      <c r="E3448" s="286"/>
      <c r="F3448" s="287"/>
      <c r="G3448" s="369"/>
      <c r="H3448" s="369"/>
      <c r="I3448" s="111"/>
    </row>
    <row r="3449" spans="3:9" ht="16.5" hidden="1" customHeight="1" x14ac:dyDescent="0.25">
      <c r="C3449" s="222"/>
      <c r="D3449" s="121" t="s">
        <v>2205</v>
      </c>
      <c r="E3449" s="288">
        <f>E3450+E3452</f>
        <v>16228809800</v>
      </c>
      <c r="F3449" s="288">
        <f>F3450+F3452</f>
        <v>16031197000</v>
      </c>
      <c r="G3449" s="368">
        <f t="shared" si="207"/>
        <v>98.782333378508142</v>
      </c>
      <c r="H3449" s="369">
        <f>(H3450+H3452)/2</f>
        <v>100</v>
      </c>
      <c r="I3449" s="111"/>
    </row>
    <row r="3450" spans="3:9" ht="16.5" hidden="1" customHeight="1" x14ac:dyDescent="0.25">
      <c r="C3450" s="222"/>
      <c r="D3450" s="121" t="s">
        <v>1112</v>
      </c>
      <c r="E3450" s="288">
        <f>E3451</f>
        <v>15178809800</v>
      </c>
      <c r="F3450" s="288">
        <f>F3451</f>
        <v>14988247000</v>
      </c>
      <c r="G3450" s="368">
        <f t="shared" ref="G3450:G3487" si="208">(F3450/E3450)*100</f>
        <v>98.744547151516443</v>
      </c>
      <c r="H3450" s="368">
        <f>H3451</f>
        <v>100</v>
      </c>
      <c r="I3450" s="111"/>
    </row>
    <row r="3451" spans="3:9" ht="16.5" hidden="1" customHeight="1" x14ac:dyDescent="0.25">
      <c r="C3451" s="222"/>
      <c r="D3451" s="111" t="s">
        <v>2649</v>
      </c>
      <c r="E3451" s="286">
        <v>15178809800</v>
      </c>
      <c r="F3451" s="287">
        <v>14988247000</v>
      </c>
      <c r="G3451" s="369">
        <f t="shared" si="208"/>
        <v>98.744547151516443</v>
      </c>
      <c r="H3451" s="369">
        <v>100</v>
      </c>
      <c r="I3451" s="111"/>
    </row>
    <row r="3452" spans="3:9" ht="16.5" hidden="1" customHeight="1" x14ac:dyDescent="0.25">
      <c r="C3452" s="222"/>
      <c r="D3452" s="121" t="s">
        <v>894</v>
      </c>
      <c r="E3452" s="288">
        <f>E3453</f>
        <v>1050000000</v>
      </c>
      <c r="F3452" s="288">
        <f>F3453</f>
        <v>1042950000</v>
      </c>
      <c r="G3452" s="368">
        <f t="shared" si="208"/>
        <v>99.328571428571436</v>
      </c>
      <c r="H3452" s="368">
        <f>H3453</f>
        <v>100</v>
      </c>
      <c r="I3452" s="111"/>
    </row>
    <row r="3453" spans="3:9" ht="16.5" hidden="1" customHeight="1" x14ac:dyDescent="0.25">
      <c r="C3453" s="222"/>
      <c r="D3453" s="111" t="s">
        <v>2650</v>
      </c>
      <c r="E3453" s="286">
        <v>1050000000</v>
      </c>
      <c r="F3453" s="287">
        <v>1042950000</v>
      </c>
      <c r="G3453" s="369">
        <f t="shared" si="208"/>
        <v>99.328571428571436</v>
      </c>
      <c r="H3453" s="369">
        <v>100</v>
      </c>
      <c r="I3453" s="111"/>
    </row>
    <row r="3454" spans="3:9" ht="16.5" hidden="1" customHeight="1" x14ac:dyDescent="0.25">
      <c r="C3454" s="222"/>
      <c r="D3454" s="111"/>
      <c r="E3454" s="286"/>
      <c r="F3454" s="287"/>
      <c r="G3454" s="369"/>
      <c r="H3454" s="369"/>
      <c r="I3454" s="111"/>
    </row>
    <row r="3455" spans="3:9" ht="16.5" hidden="1" customHeight="1" x14ac:dyDescent="0.25">
      <c r="C3455" s="222"/>
      <c r="D3455" s="121" t="s">
        <v>2651</v>
      </c>
      <c r="E3455" s="288">
        <f>E3456</f>
        <v>2600000000</v>
      </c>
      <c r="F3455" s="288">
        <f>F3456</f>
        <v>2600000000</v>
      </c>
      <c r="G3455" s="368">
        <f t="shared" si="208"/>
        <v>100</v>
      </c>
      <c r="H3455" s="368">
        <f>(H3456)/1</f>
        <v>100</v>
      </c>
      <c r="I3455" s="111"/>
    </row>
    <row r="3456" spans="3:9" ht="16.5" hidden="1" customHeight="1" x14ac:dyDescent="0.25">
      <c r="C3456" s="222"/>
      <c r="D3456" s="121" t="s">
        <v>2652</v>
      </c>
      <c r="E3456" s="288">
        <f>E3457+E3458</f>
        <v>2600000000</v>
      </c>
      <c r="F3456" s="288">
        <f>F3457+F3458</f>
        <v>2600000000</v>
      </c>
      <c r="G3456" s="368">
        <f t="shared" si="208"/>
        <v>100</v>
      </c>
      <c r="H3456" s="368">
        <f>(H3457+H3458)/2</f>
        <v>100</v>
      </c>
      <c r="I3456" s="111"/>
    </row>
    <row r="3457" spans="3:9" ht="16.5" hidden="1" customHeight="1" x14ac:dyDescent="0.25">
      <c r="C3457" s="222"/>
      <c r="D3457" s="118" t="s">
        <v>2653</v>
      </c>
      <c r="E3457" s="286">
        <v>1573200000</v>
      </c>
      <c r="F3457" s="286">
        <v>1573200000</v>
      </c>
      <c r="G3457" s="369">
        <f t="shared" si="208"/>
        <v>100</v>
      </c>
      <c r="H3457" s="369">
        <v>100</v>
      </c>
      <c r="I3457" s="111"/>
    </row>
    <row r="3458" spans="3:9" ht="16.5" hidden="1" customHeight="1" x14ac:dyDescent="0.25">
      <c r="C3458" s="222"/>
      <c r="D3458" s="118" t="s">
        <v>2654</v>
      </c>
      <c r="E3458" s="286">
        <v>1026800000</v>
      </c>
      <c r="F3458" s="286">
        <v>1026800000</v>
      </c>
      <c r="G3458" s="369">
        <f t="shared" si="208"/>
        <v>100</v>
      </c>
      <c r="H3458" s="369">
        <v>100</v>
      </c>
      <c r="I3458" s="111"/>
    </row>
    <row r="3459" spans="3:9" ht="16.5" hidden="1" customHeight="1" x14ac:dyDescent="0.25">
      <c r="C3459" s="222"/>
      <c r="D3459" s="118"/>
      <c r="E3459" s="286"/>
      <c r="F3459" s="286"/>
      <c r="G3459" s="369"/>
      <c r="H3459" s="369"/>
      <c r="I3459" s="111"/>
    </row>
    <row r="3460" spans="3:9" ht="16.5" hidden="1" customHeight="1" x14ac:dyDescent="0.25">
      <c r="C3460" s="222"/>
      <c r="D3460" s="121" t="s">
        <v>2655</v>
      </c>
      <c r="E3460" s="288">
        <f>E3461</f>
        <v>2000000000</v>
      </c>
      <c r="F3460" s="288">
        <f>F3461</f>
        <v>1993000000</v>
      </c>
      <c r="G3460" s="368">
        <f t="shared" si="208"/>
        <v>99.65</v>
      </c>
      <c r="H3460" s="368">
        <f>H3461</f>
        <v>100</v>
      </c>
      <c r="I3460" s="111"/>
    </row>
    <row r="3461" spans="3:9" ht="16.5" hidden="1" customHeight="1" x14ac:dyDescent="0.25">
      <c r="C3461" s="222"/>
      <c r="D3461" s="121" t="s">
        <v>1637</v>
      </c>
      <c r="E3461" s="288">
        <f>E3462</f>
        <v>2000000000</v>
      </c>
      <c r="F3461" s="288">
        <f>F3462</f>
        <v>1993000000</v>
      </c>
      <c r="G3461" s="368">
        <f t="shared" si="208"/>
        <v>99.65</v>
      </c>
      <c r="H3461" s="368">
        <f>H3462</f>
        <v>100</v>
      </c>
      <c r="I3461" s="111"/>
    </row>
    <row r="3462" spans="3:9" ht="16.5" hidden="1" customHeight="1" x14ac:dyDescent="0.25">
      <c r="C3462" s="222"/>
      <c r="D3462" s="111" t="s">
        <v>2656</v>
      </c>
      <c r="E3462" s="286">
        <v>2000000000</v>
      </c>
      <c r="F3462" s="287">
        <v>1993000000</v>
      </c>
      <c r="G3462" s="369">
        <f t="shared" si="208"/>
        <v>99.65</v>
      </c>
      <c r="H3462" s="369">
        <v>100</v>
      </c>
      <c r="I3462" s="111"/>
    </row>
    <row r="3463" spans="3:9" ht="16.5" hidden="1" customHeight="1" x14ac:dyDescent="0.25">
      <c r="C3463" s="222"/>
      <c r="D3463" s="111"/>
      <c r="E3463" s="286"/>
      <c r="F3463" s="287"/>
      <c r="G3463" s="369"/>
      <c r="H3463" s="369"/>
      <c r="I3463" s="111"/>
    </row>
    <row r="3464" spans="3:9" ht="16.5" hidden="1" customHeight="1" x14ac:dyDescent="0.25">
      <c r="C3464" s="222"/>
      <c r="D3464" s="121" t="s">
        <v>1124</v>
      </c>
      <c r="E3464" s="288">
        <f>E3465</f>
        <v>1422880980</v>
      </c>
      <c r="F3464" s="288">
        <f t="shared" ref="F3464:F3465" si="209">F3465</f>
        <v>1422880980</v>
      </c>
      <c r="G3464" s="368">
        <f t="shared" si="208"/>
        <v>100</v>
      </c>
      <c r="H3464" s="368">
        <f>H3465</f>
        <v>100</v>
      </c>
      <c r="I3464" s="111"/>
    </row>
    <row r="3465" spans="3:9" ht="16.5" hidden="1" customHeight="1" x14ac:dyDescent="0.25">
      <c r="C3465" s="222"/>
      <c r="D3465" s="121" t="s">
        <v>874</v>
      </c>
      <c r="E3465" s="288">
        <f>E3466</f>
        <v>1422880980</v>
      </c>
      <c r="F3465" s="288">
        <f t="shared" si="209"/>
        <v>1422880980</v>
      </c>
      <c r="G3465" s="368">
        <f t="shared" si="208"/>
        <v>100</v>
      </c>
      <c r="H3465" s="368">
        <f>H3466</f>
        <v>100</v>
      </c>
      <c r="I3465" s="111"/>
    </row>
    <row r="3466" spans="3:9" ht="16.5" hidden="1" customHeight="1" x14ac:dyDescent="0.25">
      <c r="C3466" s="222"/>
      <c r="D3466" s="111" t="s">
        <v>2657</v>
      </c>
      <c r="E3466" s="286">
        <v>1422880980</v>
      </c>
      <c r="F3466" s="287">
        <v>1422880980</v>
      </c>
      <c r="G3466" s="369">
        <f t="shared" si="208"/>
        <v>100</v>
      </c>
      <c r="H3466" s="369">
        <v>100</v>
      </c>
      <c r="I3466" s="111"/>
    </row>
    <row r="3467" spans="3:9" ht="16.5" hidden="1" customHeight="1" x14ac:dyDescent="0.25">
      <c r="C3467" s="222"/>
      <c r="D3467" s="111"/>
      <c r="E3467" s="286"/>
      <c r="F3467" s="287"/>
      <c r="G3467" s="369"/>
      <c r="H3467" s="369"/>
      <c r="I3467" s="111"/>
    </row>
    <row r="3468" spans="3:9" ht="16.5" hidden="1" customHeight="1" x14ac:dyDescent="0.25">
      <c r="C3468" s="222"/>
      <c r="D3468" s="121" t="s">
        <v>2658</v>
      </c>
      <c r="E3468" s="288">
        <f>E3469</f>
        <v>2350000000</v>
      </c>
      <c r="F3468" s="288">
        <f>F3469</f>
        <v>2272750000</v>
      </c>
      <c r="G3468" s="368">
        <f t="shared" si="208"/>
        <v>96.712765957446805</v>
      </c>
      <c r="H3468" s="368">
        <f>(H3469)/1</f>
        <v>100</v>
      </c>
      <c r="I3468" s="111"/>
    </row>
    <row r="3469" spans="3:9" ht="18.75" hidden="1" customHeight="1" x14ac:dyDescent="0.25">
      <c r="C3469" s="222"/>
      <c r="D3469" s="249" t="s">
        <v>2659</v>
      </c>
      <c r="E3469" s="288">
        <f>SUM(E3470:E3471)</f>
        <v>2350000000</v>
      </c>
      <c r="F3469" s="288">
        <f>SUM(F3470:F3471)</f>
        <v>2272750000</v>
      </c>
      <c r="G3469" s="368">
        <f t="shared" si="208"/>
        <v>96.712765957446805</v>
      </c>
      <c r="H3469" s="368">
        <f>(H3470+H3471)/2</f>
        <v>100</v>
      </c>
      <c r="I3469" s="111"/>
    </row>
    <row r="3470" spans="3:9" ht="16.5" hidden="1" customHeight="1" x14ac:dyDescent="0.25">
      <c r="C3470" s="222"/>
      <c r="D3470" s="111" t="s">
        <v>2660</v>
      </c>
      <c r="E3470" s="286">
        <v>2000000000</v>
      </c>
      <c r="F3470" s="287">
        <v>1923750000</v>
      </c>
      <c r="G3470" s="369">
        <f t="shared" si="208"/>
        <v>96.1875</v>
      </c>
      <c r="H3470" s="369">
        <v>100</v>
      </c>
      <c r="I3470" s="111"/>
    </row>
    <row r="3471" spans="3:9" ht="16.5" hidden="1" customHeight="1" x14ac:dyDescent="0.25">
      <c r="C3471" s="222"/>
      <c r="D3471" s="111" t="s">
        <v>2661</v>
      </c>
      <c r="E3471" s="286">
        <v>350000000</v>
      </c>
      <c r="F3471" s="287">
        <v>349000000</v>
      </c>
      <c r="G3471" s="369">
        <f t="shared" si="208"/>
        <v>99.714285714285708</v>
      </c>
      <c r="H3471" s="369">
        <v>100</v>
      </c>
      <c r="I3471" s="111"/>
    </row>
    <row r="3472" spans="3:9" ht="16.5" hidden="1" customHeight="1" x14ac:dyDescent="0.25">
      <c r="C3472" s="222"/>
      <c r="D3472" s="111"/>
      <c r="E3472" s="286"/>
      <c r="F3472" s="287"/>
      <c r="G3472" s="369"/>
      <c r="H3472" s="369"/>
      <c r="I3472" s="111"/>
    </row>
    <row r="3473" spans="3:9" ht="16.5" hidden="1" customHeight="1" x14ac:dyDescent="0.25">
      <c r="C3473" s="222"/>
      <c r="D3473" s="121" t="s">
        <v>2662</v>
      </c>
      <c r="E3473" s="288">
        <f>E3474+E3476</f>
        <v>3168642940</v>
      </c>
      <c r="F3473" s="288">
        <f>F3474+F3476</f>
        <v>3168642940</v>
      </c>
      <c r="G3473" s="368">
        <f t="shared" si="208"/>
        <v>100</v>
      </c>
      <c r="H3473" s="368">
        <f>(H3474+H3476)/2</f>
        <v>100</v>
      </c>
      <c r="I3473" s="111"/>
    </row>
    <row r="3474" spans="3:9" ht="16.5" hidden="1" customHeight="1" x14ac:dyDescent="0.25">
      <c r="C3474" s="222"/>
      <c r="D3474" s="121" t="s">
        <v>343</v>
      </c>
      <c r="E3474" s="288">
        <f>E3475</f>
        <v>668642940</v>
      </c>
      <c r="F3474" s="288">
        <f>F3475</f>
        <v>668642940</v>
      </c>
      <c r="G3474" s="368">
        <f t="shared" si="208"/>
        <v>100</v>
      </c>
      <c r="H3474" s="368">
        <f>H3475</f>
        <v>100</v>
      </c>
      <c r="I3474" s="111"/>
    </row>
    <row r="3475" spans="3:9" ht="16.5" hidden="1" customHeight="1" x14ac:dyDescent="0.25">
      <c r="C3475" s="222"/>
      <c r="D3475" s="111" t="s">
        <v>2663</v>
      </c>
      <c r="E3475" s="286">
        <v>668642940</v>
      </c>
      <c r="F3475" s="287">
        <v>668642940</v>
      </c>
      <c r="G3475" s="369">
        <f t="shared" si="208"/>
        <v>100</v>
      </c>
      <c r="H3475" s="369">
        <v>100</v>
      </c>
      <c r="I3475" s="111"/>
    </row>
    <row r="3476" spans="3:9" ht="29.25" hidden="1" customHeight="1" x14ac:dyDescent="0.25">
      <c r="C3476" s="222"/>
      <c r="D3476" s="121" t="s">
        <v>899</v>
      </c>
      <c r="E3476" s="288">
        <f>SUM(E3477:E3479)</f>
        <v>2500000000</v>
      </c>
      <c r="F3476" s="288">
        <f>SUM(F3477:F3479)</f>
        <v>2500000000</v>
      </c>
      <c r="G3476" s="368">
        <f t="shared" si="208"/>
        <v>100</v>
      </c>
      <c r="H3476" s="368">
        <f>(H3477+H3478+H3479)/3</f>
        <v>100</v>
      </c>
      <c r="I3476" s="111"/>
    </row>
    <row r="3477" spans="3:9" ht="16.5" hidden="1" customHeight="1" x14ac:dyDescent="0.25">
      <c r="C3477" s="222"/>
      <c r="D3477" s="111" t="s">
        <v>2664</v>
      </c>
      <c r="E3477" s="286">
        <v>500000000</v>
      </c>
      <c r="F3477" s="287">
        <v>500000000</v>
      </c>
      <c r="G3477" s="369">
        <f t="shared" si="208"/>
        <v>100</v>
      </c>
      <c r="H3477" s="369">
        <v>100</v>
      </c>
      <c r="I3477" s="111"/>
    </row>
    <row r="3478" spans="3:9" ht="16.5" hidden="1" customHeight="1" x14ac:dyDescent="0.25">
      <c r="C3478" s="222"/>
      <c r="D3478" s="111" t="s">
        <v>1754</v>
      </c>
      <c r="E3478" s="286">
        <v>1500000000</v>
      </c>
      <c r="F3478" s="287">
        <v>1500000000</v>
      </c>
      <c r="G3478" s="369">
        <f t="shared" si="208"/>
        <v>100</v>
      </c>
      <c r="H3478" s="369">
        <v>100</v>
      </c>
      <c r="I3478" s="111"/>
    </row>
    <row r="3479" spans="3:9" ht="16.5" hidden="1" customHeight="1" x14ac:dyDescent="0.25">
      <c r="C3479" s="222"/>
      <c r="D3479" s="111" t="s">
        <v>1753</v>
      </c>
      <c r="E3479" s="286">
        <v>500000000</v>
      </c>
      <c r="F3479" s="287">
        <v>500000000</v>
      </c>
      <c r="G3479" s="369">
        <f t="shared" si="208"/>
        <v>100</v>
      </c>
      <c r="H3479" s="369">
        <v>100</v>
      </c>
      <c r="I3479" s="111"/>
    </row>
    <row r="3480" spans="3:9" ht="16.5" hidden="1" customHeight="1" x14ac:dyDescent="0.25">
      <c r="C3480" s="222"/>
      <c r="D3480" s="111"/>
      <c r="E3480" s="286"/>
      <c r="F3480" s="287"/>
      <c r="G3480" s="369"/>
      <c r="H3480" s="369"/>
      <c r="I3480" s="111"/>
    </row>
    <row r="3481" spans="3:9" ht="24" hidden="1" customHeight="1" x14ac:dyDescent="0.25">
      <c r="C3481" s="222"/>
      <c r="D3481" s="121" t="s">
        <v>2665</v>
      </c>
      <c r="E3481" s="288">
        <f>E3482+E3484+E3488</f>
        <v>6386012250</v>
      </c>
      <c r="F3481" s="288">
        <f>F3482+F3484+F3488</f>
        <v>6375912250</v>
      </c>
      <c r="G3481" s="368">
        <f t="shared" si="208"/>
        <v>99.841841831731543</v>
      </c>
      <c r="H3481" s="368">
        <f>(H3482+H3484+H3488)/3</f>
        <v>100</v>
      </c>
      <c r="I3481" s="111"/>
    </row>
    <row r="3482" spans="3:9" ht="16.5" hidden="1" customHeight="1" x14ac:dyDescent="0.25">
      <c r="C3482" s="222"/>
      <c r="D3482" s="121" t="s">
        <v>2666</v>
      </c>
      <c r="E3482" s="288">
        <f>E3483</f>
        <v>386012250</v>
      </c>
      <c r="F3482" s="288">
        <f>F3483</f>
        <v>386012250</v>
      </c>
      <c r="G3482" s="368">
        <f t="shared" si="208"/>
        <v>100</v>
      </c>
      <c r="H3482" s="368">
        <f>H3483</f>
        <v>100</v>
      </c>
      <c r="I3482" s="111"/>
    </row>
    <row r="3483" spans="3:9" ht="16.5" hidden="1" customHeight="1" x14ac:dyDescent="0.25">
      <c r="C3483" s="222"/>
      <c r="D3483" s="118" t="s">
        <v>2667</v>
      </c>
      <c r="E3483" s="286">
        <v>386012250</v>
      </c>
      <c r="F3483" s="287">
        <v>386012250</v>
      </c>
      <c r="G3483" s="369">
        <f t="shared" si="208"/>
        <v>100</v>
      </c>
      <c r="H3483" s="369">
        <v>100</v>
      </c>
      <c r="I3483" s="111"/>
    </row>
    <row r="3484" spans="3:9" ht="16.5" hidden="1" customHeight="1" x14ac:dyDescent="0.25">
      <c r="C3484" s="222"/>
      <c r="D3484" s="121" t="s">
        <v>370</v>
      </c>
      <c r="E3484" s="288">
        <f>SUM(E3485:E3487)</f>
        <v>3000000000</v>
      </c>
      <c r="F3484" s="288">
        <f>SUM(F3485:F3487)</f>
        <v>2989900000</v>
      </c>
      <c r="G3484" s="368">
        <f t="shared" si="208"/>
        <v>99.663333333333341</v>
      </c>
      <c r="H3484" s="368">
        <f>(H3485+H3486+H3487)/3</f>
        <v>100</v>
      </c>
      <c r="I3484" s="111"/>
    </row>
    <row r="3485" spans="3:9" ht="16.5" hidden="1" customHeight="1" x14ac:dyDescent="0.25">
      <c r="C3485" s="222"/>
      <c r="D3485" s="111" t="s">
        <v>2668</v>
      </c>
      <c r="E3485" s="286">
        <v>500000000</v>
      </c>
      <c r="F3485" s="287">
        <v>500000000</v>
      </c>
      <c r="G3485" s="369">
        <f t="shared" si="208"/>
        <v>100</v>
      </c>
      <c r="H3485" s="369">
        <v>100</v>
      </c>
      <c r="I3485" s="111"/>
    </row>
    <row r="3486" spans="3:9" ht="16.5" hidden="1" customHeight="1" x14ac:dyDescent="0.25">
      <c r="C3486" s="222"/>
      <c r="D3486" s="111" t="s">
        <v>2669</v>
      </c>
      <c r="E3486" s="286">
        <v>1600000000</v>
      </c>
      <c r="F3486" s="287">
        <v>1589900000</v>
      </c>
      <c r="G3486" s="369">
        <f t="shared" si="208"/>
        <v>99.368749999999991</v>
      </c>
      <c r="H3486" s="369">
        <v>100</v>
      </c>
      <c r="I3486" s="111"/>
    </row>
    <row r="3487" spans="3:9" ht="16.5" hidden="1" customHeight="1" x14ac:dyDescent="0.25">
      <c r="C3487" s="222"/>
      <c r="D3487" s="111" t="s">
        <v>2670</v>
      </c>
      <c r="E3487" s="286">
        <v>900000000</v>
      </c>
      <c r="F3487" s="287">
        <v>900000000</v>
      </c>
      <c r="G3487" s="369">
        <f t="shared" si="208"/>
        <v>100</v>
      </c>
      <c r="H3487" s="369">
        <v>100</v>
      </c>
      <c r="I3487" s="111"/>
    </row>
    <row r="3488" spans="3:9" ht="16.5" hidden="1" customHeight="1" x14ac:dyDescent="0.25">
      <c r="C3488" s="222"/>
      <c r="D3488" s="121" t="s">
        <v>899</v>
      </c>
      <c r="E3488" s="288">
        <f>E3489</f>
        <v>3000000000</v>
      </c>
      <c r="F3488" s="288">
        <f>F3489</f>
        <v>3000000000</v>
      </c>
      <c r="G3488" s="368">
        <f t="shared" ref="G3488:G3522" si="210">(F3488/E3488)*100</f>
        <v>100</v>
      </c>
      <c r="H3488" s="368">
        <f>H3489</f>
        <v>100</v>
      </c>
      <c r="I3488" s="111"/>
    </row>
    <row r="3489" spans="3:9" ht="16.5" hidden="1" customHeight="1" x14ac:dyDescent="0.25">
      <c r="C3489" s="222"/>
      <c r="D3489" s="118" t="s">
        <v>1754</v>
      </c>
      <c r="E3489" s="286">
        <v>3000000000</v>
      </c>
      <c r="F3489" s="287">
        <v>3000000000</v>
      </c>
      <c r="G3489" s="369">
        <f t="shared" si="210"/>
        <v>100</v>
      </c>
      <c r="H3489" s="369">
        <v>100</v>
      </c>
      <c r="I3489" s="111"/>
    </row>
    <row r="3490" spans="3:9" ht="16.5" hidden="1" customHeight="1" x14ac:dyDescent="0.25">
      <c r="C3490" s="222"/>
      <c r="D3490" s="118"/>
      <c r="E3490" s="286"/>
      <c r="F3490" s="287"/>
      <c r="G3490" s="369"/>
      <c r="H3490" s="369"/>
      <c r="I3490" s="111"/>
    </row>
    <row r="3491" spans="3:9" ht="18.75" hidden="1" customHeight="1" x14ac:dyDescent="0.25">
      <c r="C3491" s="222"/>
      <c r="D3491" s="121" t="s">
        <v>1982</v>
      </c>
      <c r="E3491" s="288">
        <f>E3492+E3495+E3498+E3500+E3502+E3506</f>
        <v>12400000000</v>
      </c>
      <c r="F3491" s="288">
        <f>F3492+F3495+F3498+F3500+F3502+F3506</f>
        <v>12208578530</v>
      </c>
      <c r="G3491" s="368">
        <f t="shared" si="210"/>
        <v>98.456278467741924</v>
      </c>
      <c r="H3491" s="368">
        <f>(H3492+H3495+H3498+H3500+H3502+H3506)/6</f>
        <v>97.333333333333329</v>
      </c>
      <c r="I3491" s="111"/>
    </row>
    <row r="3492" spans="3:9" ht="16.5" hidden="1" customHeight="1" x14ac:dyDescent="0.25">
      <c r="C3492" s="222"/>
      <c r="D3492" s="121" t="s">
        <v>486</v>
      </c>
      <c r="E3492" s="288">
        <f>SUM(E3493:E3494)</f>
        <v>1000000000</v>
      </c>
      <c r="F3492" s="288">
        <f>SUM(F3493:F3494)</f>
        <v>1000000000</v>
      </c>
      <c r="G3492" s="368">
        <f t="shared" si="210"/>
        <v>100</v>
      </c>
      <c r="H3492" s="368">
        <f>(H3493+H3494)/2</f>
        <v>100</v>
      </c>
      <c r="I3492" s="111"/>
    </row>
    <row r="3493" spans="3:9" ht="16.5" hidden="1" customHeight="1" x14ac:dyDescent="0.25">
      <c r="C3493" s="222"/>
      <c r="D3493" s="111" t="s">
        <v>2671</v>
      </c>
      <c r="E3493" s="286">
        <v>500000000</v>
      </c>
      <c r="F3493" s="286">
        <v>500000000</v>
      </c>
      <c r="G3493" s="369">
        <f t="shared" si="210"/>
        <v>100</v>
      </c>
      <c r="H3493" s="369">
        <v>100</v>
      </c>
      <c r="I3493" s="111"/>
    </row>
    <row r="3494" spans="3:9" ht="16.5" hidden="1" customHeight="1" x14ac:dyDescent="0.25">
      <c r="C3494" s="222"/>
      <c r="D3494" s="111" t="s">
        <v>2672</v>
      </c>
      <c r="E3494" s="286">
        <v>500000000</v>
      </c>
      <c r="F3494" s="286">
        <v>500000000</v>
      </c>
      <c r="G3494" s="369">
        <f t="shared" si="210"/>
        <v>100</v>
      </c>
      <c r="H3494" s="369">
        <v>100</v>
      </c>
      <c r="I3494" s="111"/>
    </row>
    <row r="3495" spans="3:9" ht="18.75" hidden="1" customHeight="1" x14ac:dyDescent="0.25">
      <c r="C3495" s="222"/>
      <c r="D3495" s="121" t="s">
        <v>319</v>
      </c>
      <c r="E3495" s="288">
        <f>E3496+E3497</f>
        <v>3900000000</v>
      </c>
      <c r="F3495" s="288">
        <f>F3496+F3497</f>
        <v>3893900000</v>
      </c>
      <c r="G3495" s="368">
        <f t="shared" si="210"/>
        <v>99.843589743589746</v>
      </c>
      <c r="H3495" s="368">
        <f>(H3496+H3497)/2</f>
        <v>100</v>
      </c>
      <c r="I3495" s="111"/>
    </row>
    <row r="3496" spans="3:9" ht="16.5" hidden="1" customHeight="1" x14ac:dyDescent="0.25">
      <c r="C3496" s="222"/>
      <c r="D3496" s="111" t="s">
        <v>2673</v>
      </c>
      <c r="E3496" s="286">
        <v>2000000000</v>
      </c>
      <c r="F3496" s="287">
        <v>2000000000</v>
      </c>
      <c r="G3496" s="369">
        <f t="shared" si="210"/>
        <v>100</v>
      </c>
      <c r="H3496" s="369">
        <v>100</v>
      </c>
      <c r="I3496" s="111"/>
    </row>
    <row r="3497" spans="3:9" ht="16.5" hidden="1" customHeight="1" x14ac:dyDescent="0.25">
      <c r="C3497" s="222"/>
      <c r="D3497" s="111" t="s">
        <v>2674</v>
      </c>
      <c r="E3497" s="286">
        <v>1900000000</v>
      </c>
      <c r="F3497" s="287">
        <v>1893900000</v>
      </c>
      <c r="G3497" s="369">
        <f t="shared" si="210"/>
        <v>99.678947368421049</v>
      </c>
      <c r="H3497" s="369">
        <v>100</v>
      </c>
      <c r="I3497" s="111"/>
    </row>
    <row r="3498" spans="3:9" ht="16.5" hidden="1" customHeight="1" x14ac:dyDescent="0.25">
      <c r="C3498" s="222"/>
      <c r="D3498" s="121" t="s">
        <v>496</v>
      </c>
      <c r="E3498" s="288">
        <f>SUM(E3499:E3499)</f>
        <v>2200000000</v>
      </c>
      <c r="F3498" s="288">
        <f>SUM(F3499:F3499)</f>
        <v>2191605500</v>
      </c>
      <c r="G3498" s="368">
        <f t="shared" si="210"/>
        <v>99.618431818181818</v>
      </c>
      <c r="H3498" s="368">
        <f>(H3499)/1</f>
        <v>100</v>
      </c>
      <c r="I3498" s="111"/>
    </row>
    <row r="3499" spans="3:9" ht="16.5" hidden="1" customHeight="1" x14ac:dyDescent="0.25">
      <c r="C3499" s="222"/>
      <c r="D3499" s="111" t="s">
        <v>2675</v>
      </c>
      <c r="E3499" s="286">
        <v>2200000000</v>
      </c>
      <c r="F3499" s="287">
        <v>2191605500</v>
      </c>
      <c r="G3499" s="369">
        <f t="shared" si="210"/>
        <v>99.618431818181818</v>
      </c>
      <c r="H3499" s="369">
        <v>100</v>
      </c>
      <c r="I3499" s="111"/>
    </row>
    <row r="3500" spans="3:9" ht="16.5" hidden="1" customHeight="1" x14ac:dyDescent="0.25">
      <c r="C3500" s="222"/>
      <c r="D3500" s="121" t="s">
        <v>468</v>
      </c>
      <c r="E3500" s="288">
        <f>SUM(E3501:E3501)</f>
        <v>900000000</v>
      </c>
      <c r="F3500" s="288">
        <f>SUM(F3501:F3501)</f>
        <v>894600000</v>
      </c>
      <c r="G3500" s="368">
        <f t="shared" si="210"/>
        <v>99.4</v>
      </c>
      <c r="H3500" s="368">
        <f>(H3501)/1</f>
        <v>100</v>
      </c>
      <c r="I3500" s="111"/>
    </row>
    <row r="3501" spans="3:9" ht="16.5" hidden="1" customHeight="1" x14ac:dyDescent="0.25">
      <c r="C3501" s="222"/>
      <c r="D3501" s="111" t="s">
        <v>2676</v>
      </c>
      <c r="E3501" s="286">
        <v>900000000</v>
      </c>
      <c r="F3501" s="287">
        <v>894600000</v>
      </c>
      <c r="G3501" s="369">
        <f t="shared" si="210"/>
        <v>99.4</v>
      </c>
      <c r="H3501" s="369">
        <v>100</v>
      </c>
      <c r="I3501" s="111"/>
    </row>
    <row r="3502" spans="3:9" ht="16.5" hidden="1" customHeight="1" x14ac:dyDescent="0.25">
      <c r="C3502" s="222"/>
      <c r="D3502" s="121" t="s">
        <v>2677</v>
      </c>
      <c r="E3502" s="288">
        <f>SUM(E3503:E3505)</f>
        <v>1650000000</v>
      </c>
      <c r="F3502" s="288">
        <f>SUM(F3503:F3505)</f>
        <v>1495200180</v>
      </c>
      <c r="G3502" s="368">
        <f t="shared" si="210"/>
        <v>90.618192727272728</v>
      </c>
      <c r="H3502" s="368">
        <f>(H3503+H3504+H3505)/3</f>
        <v>90</v>
      </c>
      <c r="I3502" s="111"/>
    </row>
    <row r="3503" spans="3:9" ht="16.5" hidden="1" customHeight="1" x14ac:dyDescent="0.25">
      <c r="C3503" s="222"/>
      <c r="D3503" s="111" t="s">
        <v>2678</v>
      </c>
      <c r="E3503" s="286">
        <v>500000000</v>
      </c>
      <c r="F3503" s="287">
        <v>348000180</v>
      </c>
      <c r="G3503" s="369">
        <f t="shared" si="210"/>
        <v>69.600036000000003</v>
      </c>
      <c r="H3503" s="369">
        <v>70</v>
      </c>
      <c r="I3503" s="111"/>
    </row>
    <row r="3504" spans="3:9" ht="16.5" hidden="1" customHeight="1" x14ac:dyDescent="0.25">
      <c r="C3504" s="222"/>
      <c r="D3504" s="111" t="s">
        <v>2679</v>
      </c>
      <c r="E3504" s="286">
        <v>400000000</v>
      </c>
      <c r="F3504" s="287">
        <v>397200000</v>
      </c>
      <c r="G3504" s="369">
        <f t="shared" si="210"/>
        <v>99.3</v>
      </c>
      <c r="H3504" s="369">
        <v>100</v>
      </c>
      <c r="I3504" s="111"/>
    </row>
    <row r="3505" spans="3:9" ht="16.5" hidden="1" customHeight="1" x14ac:dyDescent="0.25">
      <c r="C3505" s="222"/>
      <c r="D3505" s="111" t="s">
        <v>2680</v>
      </c>
      <c r="E3505" s="286">
        <v>750000000</v>
      </c>
      <c r="F3505" s="287">
        <v>750000000</v>
      </c>
      <c r="G3505" s="369">
        <f t="shared" si="210"/>
        <v>100</v>
      </c>
      <c r="H3505" s="369">
        <v>100</v>
      </c>
      <c r="I3505" s="111"/>
    </row>
    <row r="3506" spans="3:9" ht="16.5" hidden="1" customHeight="1" x14ac:dyDescent="0.25">
      <c r="C3506" s="222"/>
      <c r="D3506" s="121" t="s">
        <v>517</v>
      </c>
      <c r="E3506" s="288">
        <f>SUM(E3507:E3511)</f>
        <v>2750000000</v>
      </c>
      <c r="F3506" s="288">
        <f>SUM(F3507:F3511)</f>
        <v>2733272850</v>
      </c>
      <c r="G3506" s="368">
        <f t="shared" si="210"/>
        <v>99.391739999999999</v>
      </c>
      <c r="H3506" s="368">
        <f>(H3507+H3508+H3509+H3510+H3511)/5</f>
        <v>94</v>
      </c>
      <c r="I3506" s="111"/>
    </row>
    <row r="3507" spans="3:9" ht="16.5" hidden="1" customHeight="1" x14ac:dyDescent="0.25">
      <c r="C3507" s="222"/>
      <c r="D3507" s="111" t="s">
        <v>2132</v>
      </c>
      <c r="E3507" s="286">
        <v>200000000</v>
      </c>
      <c r="F3507" s="287">
        <v>200000000</v>
      </c>
      <c r="G3507" s="369">
        <f t="shared" si="210"/>
        <v>100</v>
      </c>
      <c r="H3507" s="369">
        <v>70</v>
      </c>
      <c r="I3507" s="111"/>
    </row>
    <row r="3508" spans="3:9" ht="16.5" hidden="1" customHeight="1" x14ac:dyDescent="0.25">
      <c r="C3508" s="222"/>
      <c r="D3508" s="111" t="s">
        <v>2681</v>
      </c>
      <c r="E3508" s="286">
        <v>460000000</v>
      </c>
      <c r="F3508" s="287">
        <v>456550000</v>
      </c>
      <c r="G3508" s="369">
        <f t="shared" si="210"/>
        <v>99.25</v>
      </c>
      <c r="H3508" s="369">
        <v>100</v>
      </c>
      <c r="I3508" s="111"/>
    </row>
    <row r="3509" spans="3:9" ht="16.5" hidden="1" customHeight="1" x14ac:dyDescent="0.25">
      <c r="C3509" s="222"/>
      <c r="D3509" s="111" t="s">
        <v>2682</v>
      </c>
      <c r="E3509" s="286">
        <v>1250000000</v>
      </c>
      <c r="F3509" s="287">
        <v>1240911200</v>
      </c>
      <c r="G3509" s="369">
        <f t="shared" si="210"/>
        <v>99.272896000000003</v>
      </c>
      <c r="H3509" s="369">
        <v>100</v>
      </c>
      <c r="I3509" s="111"/>
    </row>
    <row r="3510" spans="3:9" ht="16.5" hidden="1" customHeight="1" x14ac:dyDescent="0.25">
      <c r="C3510" s="222"/>
      <c r="D3510" s="111" t="s">
        <v>2683</v>
      </c>
      <c r="E3510" s="286">
        <v>640000000</v>
      </c>
      <c r="F3510" s="287">
        <v>635811650</v>
      </c>
      <c r="G3510" s="369">
        <f t="shared" si="210"/>
        <v>99.345570312500001</v>
      </c>
      <c r="H3510" s="369">
        <v>100</v>
      </c>
      <c r="I3510" s="111"/>
    </row>
    <row r="3511" spans="3:9" ht="16.5" hidden="1" customHeight="1" x14ac:dyDescent="0.25">
      <c r="C3511" s="222"/>
      <c r="D3511" s="111" t="s">
        <v>2684</v>
      </c>
      <c r="E3511" s="286">
        <v>200000000</v>
      </c>
      <c r="F3511" s="287">
        <v>200000000</v>
      </c>
      <c r="G3511" s="369">
        <f t="shared" si="210"/>
        <v>100</v>
      </c>
      <c r="H3511" s="369">
        <v>100</v>
      </c>
      <c r="I3511" s="111"/>
    </row>
    <row r="3512" spans="3:9" ht="16.5" hidden="1" customHeight="1" x14ac:dyDescent="0.25">
      <c r="C3512" s="222"/>
      <c r="D3512" s="111"/>
      <c r="E3512" s="286"/>
      <c r="F3512" s="287"/>
      <c r="G3512" s="369"/>
      <c r="H3512" s="369"/>
      <c r="I3512" s="111"/>
    </row>
    <row r="3513" spans="3:9" ht="16.5" hidden="1" customHeight="1" x14ac:dyDescent="0.25">
      <c r="C3513" s="222"/>
      <c r="D3513" s="121" t="s">
        <v>2685</v>
      </c>
      <c r="E3513" s="288">
        <f>E3514</f>
        <v>7000000000</v>
      </c>
      <c r="F3513" s="288">
        <f t="shared" ref="F3513" si="211">F3514</f>
        <v>7000000000</v>
      </c>
      <c r="G3513" s="368">
        <f t="shared" si="210"/>
        <v>100</v>
      </c>
      <c r="H3513" s="567">
        <f>H3514</f>
        <v>100</v>
      </c>
      <c r="I3513" s="111"/>
    </row>
    <row r="3514" spans="3:9" ht="16.5" hidden="1" customHeight="1" x14ac:dyDescent="0.25">
      <c r="C3514" s="222"/>
      <c r="D3514" s="121" t="s">
        <v>899</v>
      </c>
      <c r="E3514" s="288">
        <f>SUM(E3515:E3518)</f>
        <v>7000000000</v>
      </c>
      <c r="F3514" s="288">
        <f>SUM(F3515:F3518)</f>
        <v>7000000000</v>
      </c>
      <c r="G3514" s="368">
        <f t="shared" si="210"/>
        <v>100</v>
      </c>
      <c r="H3514" s="567">
        <f>SUM(H3515:H3518)/4</f>
        <v>100</v>
      </c>
      <c r="I3514" s="111"/>
    </row>
    <row r="3515" spans="3:9" ht="16.5" hidden="1" customHeight="1" x14ac:dyDescent="0.25">
      <c r="C3515" s="222"/>
      <c r="D3515" s="111" t="s">
        <v>2686</v>
      </c>
      <c r="E3515" s="286">
        <v>4000000000</v>
      </c>
      <c r="F3515" s="286">
        <v>4000000000</v>
      </c>
      <c r="G3515" s="369">
        <f t="shared" si="210"/>
        <v>100</v>
      </c>
      <c r="H3515" s="568">
        <v>100</v>
      </c>
      <c r="I3515" s="111"/>
    </row>
    <row r="3516" spans="3:9" ht="16.5" hidden="1" customHeight="1" x14ac:dyDescent="0.25">
      <c r="C3516" s="222"/>
      <c r="D3516" s="111" t="s">
        <v>1754</v>
      </c>
      <c r="E3516" s="286">
        <v>650000000</v>
      </c>
      <c r="F3516" s="287">
        <v>650000000</v>
      </c>
      <c r="G3516" s="369">
        <f t="shared" si="210"/>
        <v>100</v>
      </c>
      <c r="H3516" s="568">
        <v>100</v>
      </c>
      <c r="I3516" s="111"/>
    </row>
    <row r="3517" spans="3:9" ht="30" hidden="1" customHeight="1" x14ac:dyDescent="0.25">
      <c r="C3517" s="222"/>
      <c r="D3517" s="119" t="s">
        <v>2687</v>
      </c>
      <c r="E3517" s="290">
        <v>1500000000</v>
      </c>
      <c r="F3517" s="291">
        <v>1500000000</v>
      </c>
      <c r="G3517" s="369">
        <f t="shared" si="210"/>
        <v>100</v>
      </c>
      <c r="H3517" s="568">
        <v>100</v>
      </c>
      <c r="I3517" s="111"/>
    </row>
    <row r="3518" spans="3:9" ht="16.5" hidden="1" customHeight="1" x14ac:dyDescent="0.25">
      <c r="C3518" s="222"/>
      <c r="D3518" s="119" t="s">
        <v>1767</v>
      </c>
      <c r="E3518" s="290">
        <v>850000000</v>
      </c>
      <c r="F3518" s="291">
        <v>850000000</v>
      </c>
      <c r="G3518" s="369">
        <f t="shared" si="210"/>
        <v>100</v>
      </c>
      <c r="H3518" s="568">
        <v>100</v>
      </c>
      <c r="I3518" s="111"/>
    </row>
    <row r="3519" spans="3:9" ht="16.5" hidden="1" customHeight="1" x14ac:dyDescent="0.25">
      <c r="C3519" s="222"/>
      <c r="D3519" s="119"/>
      <c r="E3519" s="290"/>
      <c r="F3519" s="291"/>
      <c r="G3519" s="369"/>
      <c r="H3519" s="568"/>
      <c r="I3519" s="111"/>
    </row>
    <row r="3520" spans="3:9" ht="16.5" hidden="1" customHeight="1" x14ac:dyDescent="0.25">
      <c r="C3520" s="222"/>
      <c r="D3520" s="121" t="s">
        <v>2688</v>
      </c>
      <c r="E3520" s="288">
        <f>E3521</f>
        <v>2000000000</v>
      </c>
      <c r="F3520" s="288">
        <f>F3521</f>
        <v>1997000000</v>
      </c>
      <c r="G3520" s="368">
        <f t="shared" si="210"/>
        <v>99.850000000000009</v>
      </c>
      <c r="H3520" s="369">
        <f>H3521</f>
        <v>100</v>
      </c>
      <c r="I3520" s="111"/>
    </row>
    <row r="3521" spans="3:9" ht="16.5" hidden="1" customHeight="1" x14ac:dyDescent="0.25">
      <c r="C3521" s="222"/>
      <c r="D3521" s="121" t="s">
        <v>2652</v>
      </c>
      <c r="E3521" s="288">
        <f>SUM(E3522:E3522)</f>
        <v>2000000000</v>
      </c>
      <c r="F3521" s="288">
        <f>SUM(F3522:F3522)</f>
        <v>1997000000</v>
      </c>
      <c r="G3521" s="368">
        <f t="shared" si="210"/>
        <v>99.850000000000009</v>
      </c>
      <c r="H3521" s="369">
        <f>(H3522)/1</f>
        <v>100</v>
      </c>
      <c r="I3521" s="111"/>
    </row>
    <row r="3522" spans="3:9" ht="16.5" hidden="1" customHeight="1" x14ac:dyDescent="0.25">
      <c r="C3522" s="222"/>
      <c r="D3522" s="111" t="s">
        <v>2689</v>
      </c>
      <c r="E3522" s="286">
        <v>2000000000</v>
      </c>
      <c r="F3522" s="287">
        <v>1997000000</v>
      </c>
      <c r="G3522" s="369">
        <f t="shared" si="210"/>
        <v>99.850000000000009</v>
      </c>
      <c r="H3522" s="369">
        <v>100</v>
      </c>
      <c r="I3522" s="111"/>
    </row>
    <row r="3523" spans="3:9" ht="16.5" hidden="1" customHeight="1" x14ac:dyDescent="0.25">
      <c r="C3523" s="222"/>
      <c r="D3523" s="111"/>
      <c r="E3523" s="286"/>
      <c r="F3523" s="287"/>
      <c r="G3523" s="369"/>
      <c r="H3523" s="369"/>
      <c r="I3523" s="111"/>
    </row>
    <row r="3524" spans="3:9" ht="16.5" hidden="1" customHeight="1" x14ac:dyDescent="0.25">
      <c r="C3524" s="222"/>
      <c r="D3524" s="121" t="s">
        <v>2690</v>
      </c>
      <c r="E3524" s="288">
        <f>E3525</f>
        <v>500000000</v>
      </c>
      <c r="F3524" s="288">
        <f t="shared" ref="F3524:F3525" si="212">F3525</f>
        <v>500000000</v>
      </c>
      <c r="G3524" s="368">
        <f t="shared" ref="G3524:G3542" si="213">(F3524/E3524)*100</f>
        <v>100</v>
      </c>
      <c r="H3524" s="369">
        <f>H3525</f>
        <v>100</v>
      </c>
      <c r="I3524" s="111"/>
    </row>
    <row r="3525" spans="3:9" ht="16.5" hidden="1" customHeight="1" x14ac:dyDescent="0.25">
      <c r="C3525" s="222"/>
      <c r="D3525" s="121" t="s">
        <v>789</v>
      </c>
      <c r="E3525" s="288">
        <f>E3526</f>
        <v>500000000</v>
      </c>
      <c r="F3525" s="288">
        <f t="shared" si="212"/>
        <v>500000000</v>
      </c>
      <c r="G3525" s="368">
        <f t="shared" si="213"/>
        <v>100</v>
      </c>
      <c r="H3525" s="369">
        <f>H3526</f>
        <v>100</v>
      </c>
      <c r="I3525" s="111"/>
    </row>
    <row r="3526" spans="3:9" ht="16.5" hidden="1" customHeight="1" x14ac:dyDescent="0.25">
      <c r="C3526" s="222"/>
      <c r="D3526" s="111" t="s">
        <v>2691</v>
      </c>
      <c r="E3526" s="286">
        <v>500000000</v>
      </c>
      <c r="F3526" s="287">
        <v>500000000</v>
      </c>
      <c r="G3526" s="369">
        <f t="shared" si="213"/>
        <v>100</v>
      </c>
      <c r="H3526" s="369">
        <v>100</v>
      </c>
      <c r="I3526" s="111"/>
    </row>
    <row r="3527" spans="3:9" ht="16.5" hidden="1" customHeight="1" x14ac:dyDescent="0.25">
      <c r="C3527" s="222"/>
      <c r="D3527" s="111"/>
      <c r="E3527" s="286"/>
      <c r="F3527" s="287"/>
      <c r="G3527" s="369"/>
      <c r="H3527" s="369"/>
      <c r="I3527" s="111"/>
    </row>
    <row r="3528" spans="3:9" ht="18.75" hidden="1" customHeight="1" x14ac:dyDescent="0.25">
      <c r="C3528" s="222"/>
      <c r="D3528" s="121" t="s">
        <v>1148</v>
      </c>
      <c r="E3528" s="288">
        <f>E3529</f>
        <v>1922880980</v>
      </c>
      <c r="F3528" s="288">
        <f>F3529</f>
        <v>1922880980</v>
      </c>
      <c r="G3528" s="368">
        <f t="shared" si="213"/>
        <v>100</v>
      </c>
      <c r="H3528" s="368">
        <f>(H3529)/1</f>
        <v>100</v>
      </c>
      <c r="I3528" s="111"/>
    </row>
    <row r="3529" spans="3:9" ht="16.5" hidden="1" customHeight="1" x14ac:dyDescent="0.25">
      <c r="C3529" s="222"/>
      <c r="D3529" s="121" t="s">
        <v>792</v>
      </c>
      <c r="E3529" s="288">
        <f>SUM(E3530:E3531)</f>
        <v>1922880980</v>
      </c>
      <c r="F3529" s="288">
        <f>SUM(F3530:F3531)</f>
        <v>1922880980</v>
      </c>
      <c r="G3529" s="368">
        <f t="shared" si="213"/>
        <v>100</v>
      </c>
      <c r="H3529" s="368">
        <f>(H3530+H3531)/2</f>
        <v>100</v>
      </c>
      <c r="I3529" s="111"/>
    </row>
    <row r="3530" spans="3:9" ht="18.75" hidden="1" customHeight="1" x14ac:dyDescent="0.25">
      <c r="C3530" s="222"/>
      <c r="D3530" s="111" t="s">
        <v>1590</v>
      </c>
      <c r="E3530" s="286">
        <v>1522880980</v>
      </c>
      <c r="F3530" s="287">
        <v>1522880980</v>
      </c>
      <c r="G3530" s="369">
        <f t="shared" si="213"/>
        <v>100</v>
      </c>
      <c r="H3530" s="369">
        <v>100</v>
      </c>
      <c r="I3530" s="111"/>
    </row>
    <row r="3531" spans="3:9" ht="16.5" hidden="1" customHeight="1" x14ac:dyDescent="0.25">
      <c r="C3531" s="222"/>
      <c r="D3531" s="111" t="s">
        <v>2692</v>
      </c>
      <c r="E3531" s="286">
        <v>400000000</v>
      </c>
      <c r="F3531" s="287">
        <v>400000000</v>
      </c>
      <c r="G3531" s="369">
        <f t="shared" si="213"/>
        <v>100</v>
      </c>
      <c r="H3531" s="369">
        <v>100</v>
      </c>
      <c r="I3531" s="111"/>
    </row>
    <row r="3532" spans="3:9" ht="16.5" hidden="1" customHeight="1" x14ac:dyDescent="0.25">
      <c r="C3532" s="222"/>
      <c r="D3532" s="111"/>
      <c r="E3532" s="286"/>
      <c r="F3532" s="287"/>
      <c r="G3532" s="369"/>
      <c r="H3532" s="369"/>
      <c r="I3532" s="111"/>
    </row>
    <row r="3533" spans="3:9" ht="16.5" hidden="1" customHeight="1" x14ac:dyDescent="0.25">
      <c r="C3533" s="222"/>
      <c r="D3533" s="121" t="s">
        <v>1411</v>
      </c>
      <c r="E3533" s="288">
        <f>E3534</f>
        <v>18776794000</v>
      </c>
      <c r="F3533" s="288">
        <f>F3534</f>
        <v>10872285000</v>
      </c>
      <c r="G3533" s="368">
        <f t="shared" si="213"/>
        <v>57.902776160829163</v>
      </c>
      <c r="H3533" s="368">
        <f>H3534</f>
        <v>41.25</v>
      </c>
      <c r="I3533" s="111"/>
    </row>
    <row r="3534" spans="3:9" ht="16.5" hidden="1" customHeight="1" x14ac:dyDescent="0.25">
      <c r="C3534" s="222"/>
      <c r="D3534" s="121" t="s">
        <v>2693</v>
      </c>
      <c r="E3534" s="288">
        <f>SUM(E3535:E3542)</f>
        <v>18776794000</v>
      </c>
      <c r="F3534" s="288">
        <f>SUM(F3535:F3542)</f>
        <v>10872285000</v>
      </c>
      <c r="G3534" s="368">
        <f t="shared" si="213"/>
        <v>57.902776160829163</v>
      </c>
      <c r="H3534" s="368">
        <f>SUM(H3535:H3542)/8</f>
        <v>41.25</v>
      </c>
      <c r="I3534" s="111"/>
    </row>
    <row r="3535" spans="3:9" ht="36" hidden="1" customHeight="1" x14ac:dyDescent="0.25">
      <c r="C3535" s="222"/>
      <c r="D3535" s="118" t="s">
        <v>4019</v>
      </c>
      <c r="E3535" s="286">
        <v>5702500000</v>
      </c>
      <c r="F3535" s="287">
        <v>5428285000</v>
      </c>
      <c r="G3535" s="369">
        <f t="shared" si="213"/>
        <v>95.191319596668123</v>
      </c>
      <c r="H3535" s="369">
        <v>100</v>
      </c>
      <c r="I3535" s="111"/>
    </row>
    <row r="3536" spans="3:9" ht="32.25" hidden="1" customHeight="1" x14ac:dyDescent="0.25">
      <c r="C3536" s="222"/>
      <c r="D3536" s="118" t="s">
        <v>2694</v>
      </c>
      <c r="E3536" s="286">
        <v>1371460000</v>
      </c>
      <c r="F3536" s="289">
        <v>0</v>
      </c>
      <c r="G3536" s="369">
        <f t="shared" si="213"/>
        <v>0</v>
      </c>
      <c r="H3536" s="369">
        <v>100</v>
      </c>
      <c r="I3536" s="111"/>
    </row>
    <row r="3537" spans="3:9" ht="32.25" hidden="1" customHeight="1" x14ac:dyDescent="0.25">
      <c r="C3537" s="222"/>
      <c r="D3537" s="118" t="s">
        <v>2695</v>
      </c>
      <c r="E3537" s="286">
        <v>411015000</v>
      </c>
      <c r="F3537" s="289">
        <v>0</v>
      </c>
      <c r="G3537" s="369">
        <f t="shared" si="213"/>
        <v>0</v>
      </c>
      <c r="H3537" s="369">
        <v>0</v>
      </c>
      <c r="I3537" s="111"/>
    </row>
    <row r="3538" spans="3:9" ht="32.25" hidden="1" customHeight="1" x14ac:dyDescent="0.25">
      <c r="C3538" s="222"/>
      <c r="D3538" s="118" t="s">
        <v>2696</v>
      </c>
      <c r="E3538" s="286">
        <v>1206144000</v>
      </c>
      <c r="F3538" s="289">
        <v>0</v>
      </c>
      <c r="G3538" s="369">
        <f t="shared" si="213"/>
        <v>0</v>
      </c>
      <c r="H3538" s="369">
        <v>0</v>
      </c>
      <c r="I3538" s="111"/>
    </row>
    <row r="3539" spans="3:9" ht="32.25" hidden="1" customHeight="1" x14ac:dyDescent="0.25">
      <c r="C3539" s="222"/>
      <c r="D3539" s="118" t="s">
        <v>2697</v>
      </c>
      <c r="E3539" s="286">
        <v>656100000</v>
      </c>
      <c r="F3539" s="289">
        <v>0</v>
      </c>
      <c r="G3539" s="369">
        <f t="shared" si="213"/>
        <v>0</v>
      </c>
      <c r="H3539" s="369">
        <v>0</v>
      </c>
      <c r="I3539" s="111"/>
    </row>
    <row r="3540" spans="3:9" ht="18.75" hidden="1" customHeight="1" x14ac:dyDescent="0.25">
      <c r="C3540" s="222"/>
      <c r="D3540" s="118" t="s">
        <v>2698</v>
      </c>
      <c r="E3540" s="286">
        <v>629575000</v>
      </c>
      <c r="F3540" s="289">
        <v>0</v>
      </c>
      <c r="G3540" s="369">
        <f t="shared" si="213"/>
        <v>0</v>
      </c>
      <c r="H3540" s="369">
        <v>0</v>
      </c>
      <c r="I3540" s="111"/>
    </row>
    <row r="3541" spans="3:9" ht="32.25" hidden="1" customHeight="1" x14ac:dyDescent="0.25">
      <c r="C3541" s="222"/>
      <c r="D3541" s="118" t="s">
        <v>2699</v>
      </c>
      <c r="E3541" s="286">
        <v>4250000000</v>
      </c>
      <c r="F3541" s="289">
        <v>4250000000</v>
      </c>
      <c r="G3541" s="369">
        <f t="shared" si="213"/>
        <v>100</v>
      </c>
      <c r="H3541" s="369">
        <v>100</v>
      </c>
      <c r="I3541" s="111"/>
    </row>
    <row r="3542" spans="3:9" ht="16.5" hidden="1" customHeight="1" x14ac:dyDescent="0.25">
      <c r="C3542" s="222"/>
      <c r="D3542" s="118" t="s">
        <v>2700</v>
      </c>
      <c r="E3542" s="286">
        <v>4550000000</v>
      </c>
      <c r="F3542" s="289">
        <v>1194000000</v>
      </c>
      <c r="G3542" s="369">
        <f t="shared" si="213"/>
        <v>26.241758241758241</v>
      </c>
      <c r="H3542" s="369">
        <v>30</v>
      </c>
      <c r="I3542" s="111"/>
    </row>
    <row r="3543" spans="3:9" ht="16.5" hidden="1" customHeight="1" x14ac:dyDescent="0.25">
      <c r="C3543" s="222"/>
      <c r="D3543" s="48"/>
      <c r="E3543" s="116"/>
      <c r="F3543" s="108"/>
      <c r="G3543" s="117"/>
      <c r="H3543" s="117"/>
      <c r="I3543" s="111"/>
    </row>
    <row r="3544" spans="3:9" ht="16.5" customHeight="1" x14ac:dyDescent="0.25">
      <c r="C3544" s="222" t="s">
        <v>2701</v>
      </c>
      <c r="D3544" s="506" t="s">
        <v>2702</v>
      </c>
      <c r="E3544" s="507">
        <f>E3545+E3578+E3582+E3604+E3615+E3619+E3623+E3627+E3631+E3636+E3640+E3647+E3652+E3656+E3663+E3671+E3681+E3695</f>
        <v>98877880000</v>
      </c>
      <c r="F3544" s="113">
        <f>F3545+F3578+F3582+F3604+F3615+F3619+F3623+F3627+F3631+F3636+F3640+F3647+F3652+F3656+F3663+F3671+F3681+F3695</f>
        <v>97800610800</v>
      </c>
      <c r="G3544" s="114">
        <f>+F3544/E3544*100</f>
        <v>98.910505362776789</v>
      </c>
      <c r="H3544" s="114">
        <f>(H3545+H3578+H3582+H3604+H3615+H3619+H3623+H3627+H3631+H3636+H3640+H3647+H3652+H3656+H3663+H3671+H3681+H3695)/18</f>
        <v>99.505939212374102</v>
      </c>
      <c r="I3544" s="111"/>
    </row>
    <row r="3545" spans="3:9" ht="16.5" hidden="1" customHeight="1" x14ac:dyDescent="0.25">
      <c r="C3545" s="222"/>
      <c r="D3545" s="506" t="s">
        <v>2703</v>
      </c>
      <c r="E3545" s="508">
        <f>E3546+E3552+E3563+E3572+E3574</f>
        <v>27126199115</v>
      </c>
      <c r="F3545" s="113">
        <f>F3546+F3552+F3563+F3572+F3574</f>
        <v>27124230915</v>
      </c>
      <c r="G3545" s="114">
        <f t="shared" ref="G3545:G3576" si="214">F3545/E3545*100</f>
        <v>99.99274428388712</v>
      </c>
      <c r="H3545" s="114">
        <f>(H3546+H3552+H3563+H3572+H3574)/5</f>
        <v>99.987637267942176</v>
      </c>
      <c r="I3545" s="111"/>
    </row>
    <row r="3546" spans="3:9" ht="16.5" hidden="1" customHeight="1" x14ac:dyDescent="0.25">
      <c r="C3546" s="222"/>
      <c r="D3546" s="509" t="s">
        <v>797</v>
      </c>
      <c r="E3546" s="508">
        <f>SUM(E3547:E3551)</f>
        <v>1483168200</v>
      </c>
      <c r="F3546" s="113">
        <f>SUM(F3547:F3551)</f>
        <v>1482700000</v>
      </c>
      <c r="G3546" s="114">
        <f t="shared" si="214"/>
        <v>99.968432440771053</v>
      </c>
      <c r="H3546" s="114">
        <f>SUM(H3547:H3551)/5</f>
        <v>99.958413310582927</v>
      </c>
      <c r="I3546" s="111"/>
    </row>
    <row r="3547" spans="3:9" ht="16.5" hidden="1" customHeight="1" x14ac:dyDescent="0.2">
      <c r="C3547" s="222"/>
      <c r="D3547" s="270" t="s">
        <v>2704</v>
      </c>
      <c r="E3547" s="510">
        <v>225168200</v>
      </c>
      <c r="F3547" s="108">
        <v>224700000</v>
      </c>
      <c r="G3547" s="117">
        <f t="shared" si="214"/>
        <v>99.792066552914676</v>
      </c>
      <c r="H3547" s="117">
        <f>+G3547</f>
        <v>99.792066552914676</v>
      </c>
      <c r="I3547" s="111"/>
    </row>
    <row r="3548" spans="3:9" ht="16.5" hidden="1" customHeight="1" x14ac:dyDescent="0.2">
      <c r="C3548" s="222"/>
      <c r="D3548" s="270" t="s">
        <v>96</v>
      </c>
      <c r="E3548" s="510">
        <v>137000000</v>
      </c>
      <c r="F3548" s="108">
        <v>137000000</v>
      </c>
      <c r="G3548" s="117">
        <f t="shared" si="214"/>
        <v>100</v>
      </c>
      <c r="H3548" s="117">
        <f t="shared" ref="H3548:H3613" si="215">+G3548</f>
        <v>100</v>
      </c>
      <c r="I3548" s="111"/>
    </row>
    <row r="3549" spans="3:9" ht="16.5" hidden="1" customHeight="1" x14ac:dyDescent="0.25">
      <c r="C3549" s="222"/>
      <c r="D3549" s="511" t="s">
        <v>985</v>
      </c>
      <c r="E3549" s="512">
        <v>475000000</v>
      </c>
      <c r="F3549" s="108">
        <v>475000000</v>
      </c>
      <c r="G3549" s="117">
        <f t="shared" si="214"/>
        <v>100</v>
      </c>
      <c r="H3549" s="117">
        <f t="shared" si="215"/>
        <v>100</v>
      </c>
      <c r="I3549" s="111"/>
    </row>
    <row r="3550" spans="3:9" ht="16.5" hidden="1" customHeight="1" x14ac:dyDescent="0.25">
      <c r="C3550" s="222"/>
      <c r="D3550" s="511" t="s">
        <v>2705</v>
      </c>
      <c r="E3550" s="512">
        <v>36000000</v>
      </c>
      <c r="F3550" s="108">
        <v>36000000</v>
      </c>
      <c r="G3550" s="117">
        <f t="shared" si="214"/>
        <v>100</v>
      </c>
      <c r="H3550" s="117">
        <f t="shared" si="215"/>
        <v>100</v>
      </c>
      <c r="I3550" s="111"/>
    </row>
    <row r="3551" spans="3:9" ht="16.5" hidden="1" customHeight="1" x14ac:dyDescent="0.25">
      <c r="C3551" s="222"/>
      <c r="D3551" s="511" t="s">
        <v>2706</v>
      </c>
      <c r="E3551" s="512">
        <v>610000000</v>
      </c>
      <c r="F3551" s="108">
        <v>610000000</v>
      </c>
      <c r="G3551" s="117">
        <f t="shared" si="214"/>
        <v>100</v>
      </c>
      <c r="H3551" s="117">
        <f t="shared" si="215"/>
        <v>100</v>
      </c>
      <c r="I3551" s="111"/>
    </row>
    <row r="3552" spans="3:9" ht="16.5" hidden="1" customHeight="1" x14ac:dyDescent="0.25">
      <c r="C3552" s="222"/>
      <c r="D3552" s="509" t="s">
        <v>680</v>
      </c>
      <c r="E3552" s="513">
        <f>SUM(E3553:E3562)</f>
        <v>16908117480</v>
      </c>
      <c r="F3552" s="113">
        <f>SUM(F3553:F3562)</f>
        <v>16908117480</v>
      </c>
      <c r="G3552" s="114">
        <f t="shared" si="214"/>
        <v>100</v>
      </c>
      <c r="H3552" s="114">
        <f>SUM(H3553:H3562)/10</f>
        <v>100</v>
      </c>
      <c r="I3552" s="111"/>
    </row>
    <row r="3553" spans="3:9" ht="16.5" hidden="1" customHeight="1" x14ac:dyDescent="0.25">
      <c r="C3553" s="222"/>
      <c r="D3553" s="511" t="s">
        <v>2707</v>
      </c>
      <c r="E3553" s="514">
        <v>860000000</v>
      </c>
      <c r="F3553" s="108">
        <v>860000000</v>
      </c>
      <c r="G3553" s="117">
        <f t="shared" si="214"/>
        <v>100</v>
      </c>
      <c r="H3553" s="117">
        <f t="shared" si="215"/>
        <v>100</v>
      </c>
      <c r="I3553" s="111"/>
    </row>
    <row r="3554" spans="3:9" ht="16.5" hidden="1" customHeight="1" x14ac:dyDescent="0.25">
      <c r="C3554" s="222"/>
      <c r="D3554" s="511" t="s">
        <v>96</v>
      </c>
      <c r="E3554" s="514">
        <v>250000000</v>
      </c>
      <c r="F3554" s="108">
        <v>250000000</v>
      </c>
      <c r="G3554" s="117">
        <f t="shared" si="214"/>
        <v>100</v>
      </c>
      <c r="H3554" s="117">
        <f t="shared" si="215"/>
        <v>100</v>
      </c>
      <c r="I3554" s="111"/>
    </row>
    <row r="3555" spans="3:9" ht="39.75" hidden="1" customHeight="1" x14ac:dyDescent="0.25">
      <c r="C3555" s="222"/>
      <c r="D3555" s="511" t="s">
        <v>2708</v>
      </c>
      <c r="E3555" s="515">
        <v>1275000000</v>
      </c>
      <c r="F3555" s="108">
        <v>1275000000</v>
      </c>
      <c r="G3555" s="117">
        <f t="shared" si="214"/>
        <v>100</v>
      </c>
      <c r="H3555" s="117">
        <f t="shared" si="215"/>
        <v>100</v>
      </c>
      <c r="I3555" s="111"/>
    </row>
    <row r="3556" spans="3:9" ht="16.5" hidden="1" customHeight="1" x14ac:dyDescent="0.25">
      <c r="C3556" s="222"/>
      <c r="D3556" s="511" t="s">
        <v>2709</v>
      </c>
      <c r="E3556" s="514">
        <v>650000000</v>
      </c>
      <c r="F3556" s="108">
        <f>E3556</f>
        <v>650000000</v>
      </c>
      <c r="G3556" s="117">
        <f t="shared" si="214"/>
        <v>100</v>
      </c>
      <c r="H3556" s="117">
        <f t="shared" si="215"/>
        <v>100</v>
      </c>
      <c r="I3556" s="111"/>
    </row>
    <row r="3557" spans="3:9" ht="16.5" hidden="1" customHeight="1" x14ac:dyDescent="0.25">
      <c r="C3557" s="222"/>
      <c r="D3557" s="511" t="s">
        <v>2710</v>
      </c>
      <c r="E3557" s="514">
        <v>390000000</v>
      </c>
      <c r="F3557" s="108">
        <v>390000000</v>
      </c>
      <c r="G3557" s="117">
        <f t="shared" si="214"/>
        <v>100</v>
      </c>
      <c r="H3557" s="117">
        <f t="shared" si="215"/>
        <v>100</v>
      </c>
      <c r="I3557" s="111"/>
    </row>
    <row r="3558" spans="3:9" ht="16.5" hidden="1" customHeight="1" x14ac:dyDescent="0.25">
      <c r="C3558" s="222"/>
      <c r="D3558" s="511" t="s">
        <v>2711</v>
      </c>
      <c r="E3558" s="516">
        <v>4247000000</v>
      </c>
      <c r="F3558" s="108">
        <v>4247000000</v>
      </c>
      <c r="G3558" s="117">
        <f t="shared" si="214"/>
        <v>100</v>
      </c>
      <c r="H3558" s="117">
        <f t="shared" si="215"/>
        <v>100</v>
      </c>
      <c r="I3558" s="111"/>
    </row>
    <row r="3559" spans="3:9" ht="16.5" hidden="1" customHeight="1" x14ac:dyDescent="0.25">
      <c r="C3559" s="222"/>
      <c r="D3559" s="517" t="s">
        <v>2712</v>
      </c>
      <c r="E3559" s="512">
        <v>2148000000</v>
      </c>
      <c r="F3559" s="108">
        <v>2148000000</v>
      </c>
      <c r="G3559" s="117">
        <f t="shared" si="214"/>
        <v>100</v>
      </c>
      <c r="H3559" s="117">
        <f t="shared" si="215"/>
        <v>100</v>
      </c>
      <c r="I3559" s="111"/>
    </row>
    <row r="3560" spans="3:9" ht="16.5" hidden="1" customHeight="1" x14ac:dyDescent="0.25">
      <c r="C3560" s="222"/>
      <c r="D3560" s="511" t="s">
        <v>2713</v>
      </c>
      <c r="E3560" s="514">
        <v>3888000000</v>
      </c>
      <c r="F3560" s="108">
        <v>3888000000</v>
      </c>
      <c r="G3560" s="117">
        <f t="shared" si="214"/>
        <v>100</v>
      </c>
      <c r="H3560" s="117">
        <f t="shared" si="215"/>
        <v>100</v>
      </c>
      <c r="I3560" s="111"/>
    </row>
    <row r="3561" spans="3:9" ht="16.5" hidden="1" customHeight="1" x14ac:dyDescent="0.25">
      <c r="C3561" s="222"/>
      <c r="D3561" s="511" t="s">
        <v>2714</v>
      </c>
      <c r="E3561" s="514">
        <v>2400000000</v>
      </c>
      <c r="F3561" s="108">
        <f>E3561-L3561</f>
        <v>2400000000</v>
      </c>
      <c r="G3561" s="117">
        <f t="shared" si="214"/>
        <v>100</v>
      </c>
      <c r="H3561" s="117">
        <f t="shared" si="215"/>
        <v>100</v>
      </c>
      <c r="I3561" s="111"/>
    </row>
    <row r="3562" spans="3:9" ht="16.5" hidden="1" customHeight="1" x14ac:dyDescent="0.25">
      <c r="C3562" s="222"/>
      <c r="D3562" s="511" t="s">
        <v>2715</v>
      </c>
      <c r="E3562" s="514">
        <v>800117480</v>
      </c>
      <c r="F3562" s="108">
        <f>E3562-L3562</f>
        <v>800117480</v>
      </c>
      <c r="G3562" s="117">
        <f t="shared" si="214"/>
        <v>100</v>
      </c>
      <c r="H3562" s="117">
        <f t="shared" si="215"/>
        <v>100</v>
      </c>
      <c r="I3562" s="111"/>
    </row>
    <row r="3563" spans="3:9" ht="16.5" hidden="1" customHeight="1" x14ac:dyDescent="0.25">
      <c r="C3563" s="222"/>
      <c r="D3563" s="509" t="s">
        <v>693</v>
      </c>
      <c r="E3563" s="513">
        <f>SUM(E3564:E3571)</f>
        <v>7415841005</v>
      </c>
      <c r="F3563" s="254">
        <f>SUM(F3564:F3571)</f>
        <v>7414341005</v>
      </c>
      <c r="G3563" s="114">
        <f t="shared" si="214"/>
        <v>99.979773029127941</v>
      </c>
      <c r="H3563" s="117">
        <f t="shared" si="215"/>
        <v>99.979773029127941</v>
      </c>
      <c r="I3563" s="111"/>
    </row>
    <row r="3564" spans="3:9" ht="16.5" hidden="1" customHeight="1" x14ac:dyDescent="0.25">
      <c r="C3564" s="222"/>
      <c r="D3564" s="511" t="s">
        <v>2716</v>
      </c>
      <c r="E3564" s="514">
        <v>1718000000</v>
      </c>
      <c r="F3564" s="108">
        <f>E3564-L3564</f>
        <v>1718000000</v>
      </c>
      <c r="G3564" s="117">
        <f t="shared" si="214"/>
        <v>100</v>
      </c>
      <c r="H3564" s="117">
        <f t="shared" si="215"/>
        <v>100</v>
      </c>
      <c r="I3564" s="111"/>
    </row>
    <row r="3565" spans="3:9" ht="16.5" hidden="1" customHeight="1" x14ac:dyDescent="0.25">
      <c r="C3565" s="222"/>
      <c r="D3565" s="511" t="s">
        <v>2717</v>
      </c>
      <c r="E3565" s="516">
        <v>1250000000</v>
      </c>
      <c r="F3565" s="108">
        <f>E3565-L3565</f>
        <v>1250000000</v>
      </c>
      <c r="G3565" s="117">
        <f t="shared" si="214"/>
        <v>100</v>
      </c>
      <c r="H3565" s="117">
        <f t="shared" si="215"/>
        <v>100</v>
      </c>
      <c r="I3565" s="111"/>
    </row>
    <row r="3566" spans="3:9" ht="16.5" hidden="1" customHeight="1" x14ac:dyDescent="0.25">
      <c r="C3566" s="222"/>
      <c r="D3566" s="511" t="s">
        <v>2718</v>
      </c>
      <c r="E3566" s="512">
        <v>1284841000</v>
      </c>
      <c r="F3566" s="108">
        <v>1283341000</v>
      </c>
      <c r="G3566" s="117">
        <f t="shared" si="214"/>
        <v>99.883254036880828</v>
      </c>
      <c r="H3566" s="117">
        <f t="shared" si="215"/>
        <v>99.883254036880828</v>
      </c>
      <c r="I3566" s="111"/>
    </row>
    <row r="3567" spans="3:9" ht="16.5" hidden="1" customHeight="1" x14ac:dyDescent="0.25">
      <c r="C3567" s="222"/>
      <c r="D3567" s="511" t="s">
        <v>96</v>
      </c>
      <c r="E3567" s="516">
        <v>215000000</v>
      </c>
      <c r="F3567" s="108">
        <f>E3567</f>
        <v>215000000</v>
      </c>
      <c r="G3567" s="117">
        <f t="shared" si="214"/>
        <v>100</v>
      </c>
      <c r="H3567" s="117">
        <f t="shared" si="215"/>
        <v>100</v>
      </c>
      <c r="I3567" s="111"/>
    </row>
    <row r="3568" spans="3:9" ht="16.5" hidden="1" customHeight="1" x14ac:dyDescent="0.25">
      <c r="C3568" s="222"/>
      <c r="D3568" s="511" t="s">
        <v>2719</v>
      </c>
      <c r="E3568" s="514">
        <v>180000000</v>
      </c>
      <c r="F3568" s="108">
        <v>180000000</v>
      </c>
      <c r="G3568" s="117">
        <f t="shared" si="214"/>
        <v>100</v>
      </c>
      <c r="H3568" s="117">
        <f t="shared" si="215"/>
        <v>100</v>
      </c>
      <c r="I3568" s="111"/>
    </row>
    <row r="3569" spans="3:9" ht="16.5" hidden="1" customHeight="1" x14ac:dyDescent="0.25">
      <c r="C3569" s="222"/>
      <c r="D3569" s="511" t="s">
        <v>2720</v>
      </c>
      <c r="E3569" s="514">
        <v>175000005</v>
      </c>
      <c r="F3569" s="108">
        <f>E3569</f>
        <v>175000005</v>
      </c>
      <c r="G3569" s="117">
        <f t="shared" si="214"/>
        <v>100</v>
      </c>
      <c r="H3569" s="117">
        <f t="shared" si="215"/>
        <v>100</v>
      </c>
      <c r="I3569" s="111"/>
    </row>
    <row r="3570" spans="3:9" ht="16.5" hidden="1" customHeight="1" x14ac:dyDescent="0.25">
      <c r="C3570" s="222"/>
      <c r="D3570" s="511" t="s">
        <v>2721</v>
      </c>
      <c r="E3570" s="514">
        <v>1525000000</v>
      </c>
      <c r="F3570" s="108">
        <v>1525000000</v>
      </c>
      <c r="G3570" s="117">
        <f t="shared" si="214"/>
        <v>100</v>
      </c>
      <c r="H3570" s="117">
        <f t="shared" si="215"/>
        <v>100</v>
      </c>
      <c r="I3570" s="111"/>
    </row>
    <row r="3571" spans="3:9" ht="16.5" hidden="1" customHeight="1" x14ac:dyDescent="0.25">
      <c r="C3571" s="222"/>
      <c r="D3571" s="511" t="s">
        <v>2722</v>
      </c>
      <c r="E3571" s="514">
        <v>1068000000</v>
      </c>
      <c r="F3571" s="108">
        <v>1068000000</v>
      </c>
      <c r="G3571" s="117">
        <f t="shared" si="214"/>
        <v>100</v>
      </c>
      <c r="H3571" s="117">
        <f t="shared" si="215"/>
        <v>100</v>
      </c>
      <c r="I3571" s="111"/>
    </row>
    <row r="3572" spans="3:9" ht="16.5" hidden="1" customHeight="1" x14ac:dyDescent="0.25">
      <c r="C3572" s="222"/>
      <c r="D3572" s="509" t="s">
        <v>92</v>
      </c>
      <c r="E3572" s="513">
        <f>E3573</f>
        <v>889900920</v>
      </c>
      <c r="F3572" s="254">
        <f>F3573</f>
        <v>889900920</v>
      </c>
      <c r="G3572" s="114">
        <f t="shared" si="214"/>
        <v>100</v>
      </c>
      <c r="H3572" s="117">
        <f t="shared" si="215"/>
        <v>100</v>
      </c>
      <c r="I3572" s="111"/>
    </row>
    <row r="3573" spans="3:9" ht="16.5" hidden="1" customHeight="1" x14ac:dyDescent="0.25">
      <c r="C3573" s="222"/>
      <c r="D3573" s="511" t="s">
        <v>2723</v>
      </c>
      <c r="E3573" s="514">
        <v>889900920</v>
      </c>
      <c r="F3573" s="108">
        <v>889900920</v>
      </c>
      <c r="G3573" s="117">
        <f t="shared" si="214"/>
        <v>100</v>
      </c>
      <c r="H3573" s="117">
        <f t="shared" si="215"/>
        <v>100</v>
      </c>
      <c r="I3573" s="111"/>
    </row>
    <row r="3574" spans="3:9" ht="16.5" hidden="1" customHeight="1" x14ac:dyDescent="0.25">
      <c r="C3574" s="222"/>
      <c r="D3574" s="509" t="s">
        <v>1371</v>
      </c>
      <c r="E3574" s="513">
        <f>SUM(E3575:E3576)</f>
        <v>429171510</v>
      </c>
      <c r="F3574" s="254">
        <f>SUM(F3575:F3576)</f>
        <v>429171510</v>
      </c>
      <c r="G3574" s="114">
        <f t="shared" si="214"/>
        <v>100</v>
      </c>
      <c r="H3574" s="117">
        <f t="shared" si="215"/>
        <v>100</v>
      </c>
      <c r="I3574" s="111"/>
    </row>
    <row r="3575" spans="3:9" ht="16.5" hidden="1" customHeight="1" x14ac:dyDescent="0.25">
      <c r="C3575" s="222"/>
      <c r="D3575" s="511" t="s">
        <v>2724</v>
      </c>
      <c r="E3575" s="514">
        <v>271671510</v>
      </c>
      <c r="F3575" s="108">
        <v>271671510</v>
      </c>
      <c r="G3575" s="117">
        <f t="shared" si="214"/>
        <v>100</v>
      </c>
      <c r="H3575" s="117">
        <f t="shared" si="215"/>
        <v>100</v>
      </c>
      <c r="I3575" s="111"/>
    </row>
    <row r="3576" spans="3:9" ht="16.5" hidden="1" customHeight="1" x14ac:dyDescent="0.25">
      <c r="C3576" s="222"/>
      <c r="D3576" s="511" t="s">
        <v>2725</v>
      </c>
      <c r="E3576" s="514">
        <v>157500000</v>
      </c>
      <c r="F3576" s="108">
        <v>157500000</v>
      </c>
      <c r="G3576" s="117">
        <f t="shared" si="214"/>
        <v>100</v>
      </c>
      <c r="H3576" s="117">
        <f t="shared" si="215"/>
        <v>100</v>
      </c>
      <c r="I3576" s="111"/>
    </row>
    <row r="3577" spans="3:9" ht="16.5" hidden="1" customHeight="1" x14ac:dyDescent="0.25">
      <c r="C3577" s="222"/>
      <c r="D3577" s="511"/>
      <c r="E3577" s="514"/>
      <c r="F3577" s="108"/>
      <c r="G3577" s="114"/>
      <c r="H3577" s="117"/>
      <c r="I3577" s="111"/>
    </row>
    <row r="3578" spans="3:9" ht="16.5" hidden="1" customHeight="1" x14ac:dyDescent="0.25">
      <c r="C3578" s="222"/>
      <c r="D3578" s="509" t="s">
        <v>2726</v>
      </c>
      <c r="E3578" s="518">
        <f>SUM(E3579:E3580)</f>
        <v>4776814885</v>
      </c>
      <c r="F3578" s="113">
        <f>SUM(F3579:F3580)</f>
        <v>4776814885</v>
      </c>
      <c r="G3578" s="114">
        <f>F3578/E3578*100</f>
        <v>100</v>
      </c>
      <c r="H3578" s="117">
        <f t="shared" si="215"/>
        <v>100</v>
      </c>
      <c r="I3578" s="111"/>
    </row>
    <row r="3579" spans="3:9" s="115" customFormat="1" ht="16.5" hidden="1" customHeight="1" x14ac:dyDescent="0.25">
      <c r="C3579" s="222"/>
      <c r="D3579" s="511" t="s">
        <v>2727</v>
      </c>
      <c r="E3579" s="512">
        <v>2239650000</v>
      </c>
      <c r="F3579" s="108">
        <f>E3579</f>
        <v>2239650000</v>
      </c>
      <c r="G3579" s="117">
        <f>F3579/E3579*100</f>
        <v>100</v>
      </c>
      <c r="H3579" s="117">
        <f t="shared" si="215"/>
        <v>100</v>
      </c>
      <c r="I3579" s="121"/>
    </row>
    <row r="3580" spans="3:9" ht="16.5" hidden="1" customHeight="1" x14ac:dyDescent="0.25">
      <c r="C3580" s="222"/>
      <c r="D3580" s="511" t="s">
        <v>2728</v>
      </c>
      <c r="E3580" s="512">
        <v>2537164885</v>
      </c>
      <c r="F3580" s="108">
        <v>2537164885</v>
      </c>
      <c r="G3580" s="117">
        <f>F3580/E3580*100</f>
        <v>100</v>
      </c>
      <c r="H3580" s="117">
        <f t="shared" si="215"/>
        <v>100</v>
      </c>
      <c r="I3580" s="111"/>
    </row>
    <row r="3581" spans="3:9" ht="16.5" hidden="1" customHeight="1" x14ac:dyDescent="0.25">
      <c r="C3581" s="222"/>
      <c r="D3581" s="511"/>
      <c r="E3581" s="512"/>
      <c r="F3581" s="108"/>
      <c r="G3581" s="114"/>
      <c r="H3581" s="117"/>
      <c r="I3581" s="111"/>
    </row>
    <row r="3582" spans="3:9" ht="16.5" hidden="1" customHeight="1" x14ac:dyDescent="0.2">
      <c r="C3582" s="222"/>
      <c r="D3582" s="519" t="s">
        <v>1020</v>
      </c>
      <c r="E3582" s="518">
        <f>E3583+E3585+E3588+E3594+E3597+E3599+E3601</f>
        <v>12926674000</v>
      </c>
      <c r="F3582" s="113">
        <f>F3583+F3585+F3588+F3594+F3597</f>
        <v>12122992000</v>
      </c>
      <c r="G3582" s="114">
        <f t="shared" ref="G3582:G3602" si="216">F3582/E3582*100</f>
        <v>93.78276268125893</v>
      </c>
      <c r="H3582" s="117">
        <f t="shared" si="215"/>
        <v>93.78276268125893</v>
      </c>
      <c r="I3582" s="111"/>
    </row>
    <row r="3583" spans="3:9" ht="16.5" hidden="1" customHeight="1" x14ac:dyDescent="0.25">
      <c r="C3583" s="222"/>
      <c r="D3583" s="509" t="s">
        <v>156</v>
      </c>
      <c r="E3583" s="513">
        <f>E3584</f>
        <v>1900000000</v>
      </c>
      <c r="F3583" s="254">
        <f>F3584</f>
        <v>1900000000</v>
      </c>
      <c r="G3583" s="114">
        <f t="shared" si="216"/>
        <v>100</v>
      </c>
      <c r="H3583" s="117">
        <f t="shared" si="215"/>
        <v>100</v>
      </c>
      <c r="I3583" s="111"/>
    </row>
    <row r="3584" spans="3:9" ht="16.5" hidden="1" customHeight="1" x14ac:dyDescent="0.25">
      <c r="C3584" s="222"/>
      <c r="D3584" s="511" t="s">
        <v>2729</v>
      </c>
      <c r="E3584" s="514">
        <v>1900000000</v>
      </c>
      <c r="F3584" s="108">
        <f>E3584</f>
        <v>1900000000</v>
      </c>
      <c r="G3584" s="117">
        <f t="shared" si="216"/>
        <v>100</v>
      </c>
      <c r="H3584" s="117">
        <f t="shared" si="215"/>
        <v>100</v>
      </c>
      <c r="I3584" s="111"/>
    </row>
    <row r="3585" spans="3:9" ht="16.5" hidden="1" customHeight="1" x14ac:dyDescent="0.25">
      <c r="C3585" s="222"/>
      <c r="D3585" s="509" t="s">
        <v>166</v>
      </c>
      <c r="E3585" s="513">
        <f>SUM(E3586:E3587)</f>
        <v>5713726400</v>
      </c>
      <c r="F3585" s="254">
        <f>SUM(F3586:F3587)</f>
        <v>5713726400</v>
      </c>
      <c r="G3585" s="114">
        <f t="shared" si="216"/>
        <v>100</v>
      </c>
      <c r="H3585" s="117">
        <f t="shared" si="215"/>
        <v>100</v>
      </c>
      <c r="I3585" s="111"/>
    </row>
    <row r="3586" spans="3:9" ht="20.25" hidden="1" customHeight="1" x14ac:dyDescent="0.25">
      <c r="C3586" s="222"/>
      <c r="D3586" s="511" t="s">
        <v>2730</v>
      </c>
      <c r="E3586" s="514">
        <v>199200000</v>
      </c>
      <c r="F3586" s="108">
        <f>E3586-L3585</f>
        <v>199200000</v>
      </c>
      <c r="G3586" s="117">
        <f t="shared" si="216"/>
        <v>100</v>
      </c>
      <c r="H3586" s="117">
        <f t="shared" si="215"/>
        <v>100</v>
      </c>
      <c r="I3586" s="111"/>
    </row>
    <row r="3587" spans="3:9" ht="16.5" hidden="1" customHeight="1" x14ac:dyDescent="0.25">
      <c r="C3587" s="222"/>
      <c r="D3587" s="511" t="s">
        <v>2731</v>
      </c>
      <c r="E3587" s="514">
        <v>5514526400</v>
      </c>
      <c r="F3587" s="108">
        <f>E3587</f>
        <v>5514526400</v>
      </c>
      <c r="G3587" s="117">
        <f t="shared" si="216"/>
        <v>100</v>
      </c>
      <c r="H3587" s="117">
        <f t="shared" si="215"/>
        <v>100</v>
      </c>
      <c r="I3587" s="111"/>
    </row>
    <row r="3588" spans="3:9" ht="16.5" hidden="1" customHeight="1" x14ac:dyDescent="0.25">
      <c r="C3588" s="222"/>
      <c r="D3588" s="509" t="s">
        <v>705</v>
      </c>
      <c r="E3588" s="520">
        <f>SUM(E3589:E3593)</f>
        <v>2638777000</v>
      </c>
      <c r="F3588" s="254">
        <f>SUM(F3589:F3593)</f>
        <v>2638777000</v>
      </c>
      <c r="G3588" s="114">
        <f t="shared" si="216"/>
        <v>100</v>
      </c>
      <c r="H3588" s="117">
        <f t="shared" si="215"/>
        <v>100</v>
      </c>
      <c r="I3588" s="111"/>
    </row>
    <row r="3589" spans="3:9" ht="20.25" hidden="1" customHeight="1" x14ac:dyDescent="0.25">
      <c r="C3589" s="222"/>
      <c r="D3589" s="511" t="s">
        <v>2732</v>
      </c>
      <c r="E3589" s="521">
        <v>76941000</v>
      </c>
      <c r="F3589" s="108">
        <v>76941000</v>
      </c>
      <c r="G3589" s="117">
        <f t="shared" si="216"/>
        <v>100</v>
      </c>
      <c r="H3589" s="117">
        <f t="shared" si="215"/>
        <v>100</v>
      </c>
      <c r="I3589" s="111"/>
    </row>
    <row r="3590" spans="3:9" ht="17.25" hidden="1" customHeight="1" x14ac:dyDescent="0.25">
      <c r="C3590" s="222"/>
      <c r="D3590" s="511" t="s">
        <v>2733</v>
      </c>
      <c r="E3590" s="514">
        <v>463345000</v>
      </c>
      <c r="F3590" s="108">
        <f>E3590</f>
        <v>463345000</v>
      </c>
      <c r="G3590" s="117">
        <f t="shared" si="216"/>
        <v>100</v>
      </c>
      <c r="H3590" s="117">
        <f t="shared" si="215"/>
        <v>100</v>
      </c>
      <c r="I3590" s="111"/>
    </row>
    <row r="3591" spans="3:9" ht="16.5" hidden="1" customHeight="1" x14ac:dyDescent="0.25">
      <c r="C3591" s="222"/>
      <c r="D3591" s="511" t="s">
        <v>2734</v>
      </c>
      <c r="E3591" s="512">
        <v>144051000</v>
      </c>
      <c r="F3591" s="108">
        <v>144051000</v>
      </c>
      <c r="G3591" s="117">
        <f t="shared" si="216"/>
        <v>100</v>
      </c>
      <c r="H3591" s="117">
        <f t="shared" si="215"/>
        <v>100</v>
      </c>
      <c r="I3591" s="111"/>
    </row>
    <row r="3592" spans="3:9" ht="16.5" hidden="1" customHeight="1" x14ac:dyDescent="0.25">
      <c r="C3592" s="222"/>
      <c r="D3592" s="511" t="s">
        <v>2735</v>
      </c>
      <c r="E3592" s="512">
        <v>1454440000</v>
      </c>
      <c r="F3592" s="108">
        <f>E3592</f>
        <v>1454440000</v>
      </c>
      <c r="G3592" s="117">
        <f t="shared" si="216"/>
        <v>100</v>
      </c>
      <c r="H3592" s="117">
        <f t="shared" si="215"/>
        <v>100</v>
      </c>
      <c r="I3592" s="111"/>
    </row>
    <row r="3593" spans="3:9" ht="16.5" hidden="1" customHeight="1" x14ac:dyDescent="0.25">
      <c r="C3593" s="222"/>
      <c r="D3593" s="511" t="s">
        <v>2736</v>
      </c>
      <c r="E3593" s="512">
        <v>500000000</v>
      </c>
      <c r="F3593" s="108">
        <f>E3593</f>
        <v>500000000</v>
      </c>
      <c r="G3593" s="117">
        <f t="shared" si="216"/>
        <v>100</v>
      </c>
      <c r="H3593" s="117">
        <f t="shared" si="215"/>
        <v>100</v>
      </c>
      <c r="I3593" s="111"/>
    </row>
    <row r="3594" spans="3:9" ht="16.5" hidden="1" customHeight="1" x14ac:dyDescent="0.25">
      <c r="C3594" s="222"/>
      <c r="D3594" s="509" t="s">
        <v>177</v>
      </c>
      <c r="E3594" s="520">
        <f>SUM(E3595:E3596)</f>
        <v>472557600</v>
      </c>
      <c r="F3594" s="254">
        <f>SUM(F3595:F3596)</f>
        <v>472557600</v>
      </c>
      <c r="G3594" s="114">
        <f t="shared" si="216"/>
        <v>100</v>
      </c>
      <c r="H3594" s="117">
        <f t="shared" si="215"/>
        <v>100</v>
      </c>
      <c r="I3594" s="111"/>
    </row>
    <row r="3595" spans="3:9" ht="16.5" hidden="1" customHeight="1" x14ac:dyDescent="0.25">
      <c r="C3595" s="222"/>
      <c r="D3595" s="511" t="s">
        <v>2737</v>
      </c>
      <c r="E3595" s="522">
        <v>54000000</v>
      </c>
      <c r="F3595" s="108">
        <f>E3595</f>
        <v>54000000</v>
      </c>
      <c r="G3595" s="117">
        <f t="shared" si="216"/>
        <v>100</v>
      </c>
      <c r="H3595" s="117">
        <f t="shared" si="215"/>
        <v>100</v>
      </c>
      <c r="I3595" s="111"/>
    </row>
    <row r="3596" spans="3:9" ht="16.5" hidden="1" customHeight="1" x14ac:dyDescent="0.25">
      <c r="C3596" s="222"/>
      <c r="D3596" s="511" t="s">
        <v>2738</v>
      </c>
      <c r="E3596" s="515">
        <v>418557600</v>
      </c>
      <c r="F3596" s="108">
        <v>418557600</v>
      </c>
      <c r="G3596" s="117">
        <f t="shared" si="216"/>
        <v>100</v>
      </c>
      <c r="H3596" s="117">
        <f t="shared" si="215"/>
        <v>100</v>
      </c>
      <c r="I3596" s="111"/>
    </row>
    <row r="3597" spans="3:9" ht="16.5" hidden="1" customHeight="1" x14ac:dyDescent="0.25">
      <c r="C3597" s="222"/>
      <c r="D3597" s="509" t="s">
        <v>182</v>
      </c>
      <c r="E3597" s="513">
        <f>SUM(E3598)</f>
        <v>1397931000</v>
      </c>
      <c r="F3597" s="254">
        <f>SUM(F3598)</f>
        <v>1397931000</v>
      </c>
      <c r="G3597" s="114">
        <f t="shared" si="216"/>
        <v>100</v>
      </c>
      <c r="H3597" s="117">
        <f t="shared" si="215"/>
        <v>100</v>
      </c>
      <c r="I3597" s="111"/>
    </row>
    <row r="3598" spans="3:9" ht="16.5" hidden="1" customHeight="1" x14ac:dyDescent="0.25">
      <c r="C3598" s="222"/>
      <c r="D3598" s="511" t="s">
        <v>2739</v>
      </c>
      <c r="E3598" s="515">
        <f>[1]Sheet1!$C$91</f>
        <v>1397931000</v>
      </c>
      <c r="F3598" s="108">
        <f>E3598</f>
        <v>1397931000</v>
      </c>
      <c r="G3598" s="117">
        <f t="shared" si="216"/>
        <v>100</v>
      </c>
      <c r="H3598" s="117">
        <f t="shared" si="215"/>
        <v>100</v>
      </c>
      <c r="I3598" s="111"/>
    </row>
    <row r="3599" spans="3:9" ht="17.25" hidden="1" customHeight="1" x14ac:dyDescent="0.25">
      <c r="C3599" s="222"/>
      <c r="D3599" s="509" t="s">
        <v>2740</v>
      </c>
      <c r="E3599" s="523">
        <f>SUM(E3600)</f>
        <v>450000000</v>
      </c>
      <c r="F3599" s="113">
        <f>SUM(F3600)</f>
        <v>450000000</v>
      </c>
      <c r="G3599" s="114">
        <f t="shared" si="216"/>
        <v>100</v>
      </c>
      <c r="H3599" s="117">
        <f t="shared" si="215"/>
        <v>100</v>
      </c>
      <c r="I3599" s="111"/>
    </row>
    <row r="3600" spans="3:9" ht="16.5" hidden="1" customHeight="1" x14ac:dyDescent="0.25">
      <c r="C3600" s="222"/>
      <c r="D3600" s="511" t="s">
        <v>2741</v>
      </c>
      <c r="E3600" s="512">
        <v>450000000</v>
      </c>
      <c r="F3600" s="253">
        <f>E3600</f>
        <v>450000000</v>
      </c>
      <c r="G3600" s="117">
        <f t="shared" si="216"/>
        <v>100</v>
      </c>
      <c r="H3600" s="117">
        <f t="shared" si="215"/>
        <v>100</v>
      </c>
      <c r="I3600" s="111"/>
    </row>
    <row r="3601" spans="3:9" ht="16.5" hidden="1" customHeight="1" x14ac:dyDescent="0.25">
      <c r="C3601" s="222"/>
      <c r="D3601" s="509" t="s">
        <v>2742</v>
      </c>
      <c r="E3601" s="513">
        <f>SUM(E3602)</f>
        <v>353682000</v>
      </c>
      <c r="F3601" s="113">
        <f>E3601</f>
        <v>353682000</v>
      </c>
      <c r="G3601" s="114">
        <f t="shared" si="216"/>
        <v>100</v>
      </c>
      <c r="H3601" s="117">
        <f t="shared" si="215"/>
        <v>100</v>
      </c>
      <c r="I3601" s="111"/>
    </row>
    <row r="3602" spans="3:9" ht="18" hidden="1" customHeight="1" x14ac:dyDescent="0.25">
      <c r="C3602" s="222"/>
      <c r="D3602" s="511" t="s">
        <v>2743</v>
      </c>
      <c r="E3602" s="512">
        <v>353682000</v>
      </c>
      <c r="F3602" s="108">
        <f>E3602</f>
        <v>353682000</v>
      </c>
      <c r="G3602" s="117">
        <f t="shared" si="216"/>
        <v>100</v>
      </c>
      <c r="H3602" s="117">
        <f t="shared" si="215"/>
        <v>100</v>
      </c>
      <c r="I3602" s="111"/>
    </row>
    <row r="3603" spans="3:9" ht="18" hidden="1" customHeight="1" x14ac:dyDescent="0.25">
      <c r="C3603" s="222"/>
      <c r="D3603" s="511"/>
      <c r="E3603" s="512"/>
      <c r="F3603" s="108"/>
      <c r="G3603" s="114"/>
      <c r="H3603" s="117"/>
      <c r="I3603" s="111"/>
    </row>
    <row r="3604" spans="3:9" ht="16.5" hidden="1" customHeight="1" x14ac:dyDescent="0.25">
      <c r="C3604" s="222"/>
      <c r="D3604" s="509" t="s">
        <v>2744</v>
      </c>
      <c r="E3604" s="513">
        <f>E3605+E3607+E3610+E3612</f>
        <v>2122565600</v>
      </c>
      <c r="F3604" s="113">
        <f>F3605+F3607+F3610+F3612</f>
        <v>2122565600</v>
      </c>
      <c r="G3604" s="114">
        <f t="shared" ref="G3604:G3613" si="217">F3604/E3604*100</f>
        <v>100</v>
      </c>
      <c r="H3604" s="117">
        <f t="shared" si="215"/>
        <v>100</v>
      </c>
      <c r="I3604" s="111"/>
    </row>
    <row r="3605" spans="3:9" ht="16.5" hidden="1" customHeight="1" x14ac:dyDescent="0.25">
      <c r="C3605" s="222"/>
      <c r="D3605" s="509" t="s">
        <v>156</v>
      </c>
      <c r="E3605" s="513">
        <f>SUM(E3606)</f>
        <v>688071000</v>
      </c>
      <c r="F3605" s="113">
        <f>SUM(F3606)</f>
        <v>688071000</v>
      </c>
      <c r="G3605" s="114">
        <f t="shared" si="217"/>
        <v>100</v>
      </c>
      <c r="H3605" s="117">
        <f t="shared" si="215"/>
        <v>100</v>
      </c>
      <c r="I3605" s="111"/>
    </row>
    <row r="3606" spans="3:9" ht="16.5" hidden="1" customHeight="1" x14ac:dyDescent="0.25">
      <c r="C3606" s="222"/>
      <c r="D3606" s="511" t="s">
        <v>2729</v>
      </c>
      <c r="E3606" s="512">
        <v>688071000</v>
      </c>
      <c r="F3606" s="108">
        <f>E3606</f>
        <v>688071000</v>
      </c>
      <c r="G3606" s="117">
        <f t="shared" si="217"/>
        <v>100</v>
      </c>
      <c r="H3606" s="117">
        <f t="shared" si="215"/>
        <v>100</v>
      </c>
      <c r="I3606" s="111"/>
    </row>
    <row r="3607" spans="3:9" ht="16.5" hidden="1" customHeight="1" x14ac:dyDescent="0.25">
      <c r="C3607" s="222"/>
      <c r="D3607" s="509" t="s">
        <v>166</v>
      </c>
      <c r="E3607" s="513">
        <f>SUM(E3608:E3609)</f>
        <v>968153000</v>
      </c>
      <c r="F3607" s="113">
        <f>SUM(F3608:F3609)</f>
        <v>968153000</v>
      </c>
      <c r="G3607" s="114">
        <f t="shared" si="217"/>
        <v>100</v>
      </c>
      <c r="H3607" s="117">
        <f t="shared" si="215"/>
        <v>100</v>
      </c>
      <c r="I3607" s="111"/>
    </row>
    <row r="3608" spans="3:9" ht="16.5" hidden="1" customHeight="1" x14ac:dyDescent="0.25">
      <c r="C3608" s="222"/>
      <c r="D3608" s="511" t="s">
        <v>2745</v>
      </c>
      <c r="E3608" s="512">
        <v>318153000</v>
      </c>
      <c r="F3608" s="108">
        <f>E3608</f>
        <v>318153000</v>
      </c>
      <c r="G3608" s="117">
        <f t="shared" si="217"/>
        <v>100</v>
      </c>
      <c r="H3608" s="117">
        <f t="shared" si="215"/>
        <v>100</v>
      </c>
      <c r="I3608" s="111"/>
    </row>
    <row r="3609" spans="3:9" ht="16.5" hidden="1" customHeight="1" x14ac:dyDescent="0.25">
      <c r="C3609" s="222"/>
      <c r="D3609" s="511" t="s">
        <v>2731</v>
      </c>
      <c r="E3609" s="512">
        <v>650000000</v>
      </c>
      <c r="F3609" s="108">
        <f>E3609</f>
        <v>650000000</v>
      </c>
      <c r="G3609" s="117">
        <f t="shared" si="217"/>
        <v>100</v>
      </c>
      <c r="H3609" s="117">
        <f t="shared" si="215"/>
        <v>100</v>
      </c>
      <c r="I3609" s="111"/>
    </row>
    <row r="3610" spans="3:9" ht="16.5" hidden="1" customHeight="1" x14ac:dyDescent="0.25">
      <c r="C3610" s="222"/>
      <c r="D3610" s="509" t="s">
        <v>177</v>
      </c>
      <c r="E3610" s="518">
        <f>SUM(E3611)</f>
        <v>156000000</v>
      </c>
      <c r="F3610" s="113">
        <f>SUM(F3611)</f>
        <v>156000000</v>
      </c>
      <c r="G3610" s="114">
        <f t="shared" si="217"/>
        <v>100</v>
      </c>
      <c r="H3610" s="117">
        <f t="shared" si="215"/>
        <v>100</v>
      </c>
      <c r="I3610" s="111"/>
    </row>
    <row r="3611" spans="3:9" ht="16.5" hidden="1" customHeight="1" x14ac:dyDescent="0.25">
      <c r="C3611" s="222"/>
      <c r="D3611" s="511" t="s">
        <v>2746</v>
      </c>
      <c r="E3611" s="512">
        <v>156000000</v>
      </c>
      <c r="F3611" s="108">
        <f>E3611</f>
        <v>156000000</v>
      </c>
      <c r="G3611" s="117">
        <f t="shared" si="217"/>
        <v>100</v>
      </c>
      <c r="H3611" s="117">
        <f t="shared" si="215"/>
        <v>100</v>
      </c>
      <c r="I3611" s="111"/>
    </row>
    <row r="3612" spans="3:9" ht="16.5" hidden="1" customHeight="1" x14ac:dyDescent="0.25">
      <c r="C3612" s="222"/>
      <c r="D3612" s="509" t="s">
        <v>2747</v>
      </c>
      <c r="E3612" s="513">
        <f>SUM(E3613)</f>
        <v>310341600</v>
      </c>
      <c r="F3612" s="113">
        <f>SUM(F3613)</f>
        <v>310341600</v>
      </c>
      <c r="G3612" s="114">
        <f t="shared" si="217"/>
        <v>100</v>
      </c>
      <c r="H3612" s="117">
        <f t="shared" si="215"/>
        <v>100</v>
      </c>
      <c r="I3612" s="111"/>
    </row>
    <row r="3613" spans="3:9" ht="16.5" hidden="1" customHeight="1" x14ac:dyDescent="0.25">
      <c r="C3613" s="222"/>
      <c r="D3613" s="511" t="s">
        <v>2748</v>
      </c>
      <c r="E3613" s="512">
        <v>310341600</v>
      </c>
      <c r="F3613" s="108">
        <f>E3613</f>
        <v>310341600</v>
      </c>
      <c r="G3613" s="117">
        <f t="shared" si="217"/>
        <v>100</v>
      </c>
      <c r="H3613" s="117">
        <f t="shared" si="215"/>
        <v>100</v>
      </c>
      <c r="I3613" s="111"/>
    </row>
    <row r="3614" spans="3:9" ht="16.5" hidden="1" customHeight="1" x14ac:dyDescent="0.25">
      <c r="C3614" s="222"/>
      <c r="D3614" s="511"/>
      <c r="E3614" s="512"/>
      <c r="F3614" s="108"/>
      <c r="G3614" s="114"/>
      <c r="H3614" s="117"/>
      <c r="I3614" s="111"/>
    </row>
    <row r="3615" spans="3:9" ht="16.5" hidden="1" customHeight="1" x14ac:dyDescent="0.25">
      <c r="C3615" s="222"/>
      <c r="D3615" s="509" t="s">
        <v>861</v>
      </c>
      <c r="E3615" s="518">
        <v>15275576000</v>
      </c>
      <c r="F3615" s="113">
        <v>15250000000</v>
      </c>
      <c r="G3615" s="114">
        <f>F3615/E3615*100</f>
        <v>99.832569325045412</v>
      </c>
      <c r="H3615" s="117">
        <f t="shared" ref="H3615:H3689" si="218">+G3615</f>
        <v>99.832569325045412</v>
      </c>
      <c r="I3615" s="111"/>
    </row>
    <row r="3616" spans="3:9" ht="16.5" hidden="1" customHeight="1" x14ac:dyDescent="0.25">
      <c r="C3616" s="222"/>
      <c r="D3616" s="509" t="s">
        <v>729</v>
      </c>
      <c r="E3616" s="513">
        <f>E3617</f>
        <v>15275576000</v>
      </c>
      <c r="F3616" s="254">
        <f>F3617</f>
        <v>15250000000</v>
      </c>
      <c r="G3616" s="114">
        <f>F3616/E3616*100</f>
        <v>99.832569325045412</v>
      </c>
      <c r="H3616" s="117">
        <f t="shared" si="218"/>
        <v>99.832569325045412</v>
      </c>
      <c r="I3616" s="111"/>
    </row>
    <row r="3617" spans="3:9" ht="16.5" hidden="1" customHeight="1" x14ac:dyDescent="0.25">
      <c r="C3617" s="222"/>
      <c r="D3617" s="511" t="s">
        <v>1460</v>
      </c>
      <c r="E3617" s="512">
        <v>15275576000</v>
      </c>
      <c r="F3617" s="108">
        <v>15250000000</v>
      </c>
      <c r="G3617" s="117">
        <f>F3617/E3617*100</f>
        <v>99.832569325045412</v>
      </c>
      <c r="H3617" s="117">
        <f t="shared" si="218"/>
        <v>99.832569325045412</v>
      </c>
      <c r="I3617" s="111"/>
    </row>
    <row r="3618" spans="3:9" ht="16.5" hidden="1" customHeight="1" x14ac:dyDescent="0.25">
      <c r="C3618" s="222"/>
      <c r="D3618" s="511"/>
      <c r="E3618" s="512"/>
      <c r="F3618" s="108"/>
      <c r="G3618" s="114"/>
      <c r="H3618" s="117"/>
      <c r="I3618" s="111"/>
    </row>
    <row r="3619" spans="3:9" ht="16.5" hidden="1" customHeight="1" x14ac:dyDescent="0.25">
      <c r="C3619" s="222"/>
      <c r="D3619" s="524" t="s">
        <v>2749</v>
      </c>
      <c r="E3619" s="518">
        <v>3032672800</v>
      </c>
      <c r="F3619" s="113">
        <f>F3621</f>
        <v>3032672800</v>
      </c>
      <c r="G3619" s="114">
        <f>F3619/E3619*100</f>
        <v>100</v>
      </c>
      <c r="H3619" s="117">
        <f t="shared" si="218"/>
        <v>100</v>
      </c>
      <c r="I3619" s="111"/>
    </row>
    <row r="3620" spans="3:9" ht="16.5" hidden="1" customHeight="1" x14ac:dyDescent="0.25">
      <c r="C3620" s="222"/>
      <c r="D3620" s="509" t="s">
        <v>2652</v>
      </c>
      <c r="E3620" s="513">
        <f>E3621</f>
        <v>3032672800</v>
      </c>
      <c r="F3620" s="254">
        <f>F3621</f>
        <v>3032672800</v>
      </c>
      <c r="G3620" s="114">
        <f>F3620/E3620*100</f>
        <v>100</v>
      </c>
      <c r="H3620" s="117">
        <f t="shared" si="218"/>
        <v>100</v>
      </c>
      <c r="I3620" s="111"/>
    </row>
    <row r="3621" spans="3:9" ht="16.5" hidden="1" customHeight="1" x14ac:dyDescent="0.25">
      <c r="C3621" s="222"/>
      <c r="D3621" s="511" t="s">
        <v>2750</v>
      </c>
      <c r="E3621" s="514">
        <v>3032672800</v>
      </c>
      <c r="F3621" s="108">
        <v>3032672800</v>
      </c>
      <c r="G3621" s="117">
        <f>F3621/E3621*100</f>
        <v>100</v>
      </c>
      <c r="H3621" s="117">
        <f t="shared" si="218"/>
        <v>100</v>
      </c>
      <c r="I3621" s="111"/>
    </row>
    <row r="3622" spans="3:9" ht="16.5" hidden="1" customHeight="1" x14ac:dyDescent="0.25">
      <c r="C3622" s="222"/>
      <c r="D3622" s="511"/>
      <c r="E3622" s="514"/>
      <c r="F3622" s="108"/>
      <c r="G3622" s="114"/>
      <c r="H3622" s="117"/>
      <c r="I3622" s="111"/>
    </row>
    <row r="3623" spans="3:9" ht="16.5" hidden="1" customHeight="1" x14ac:dyDescent="0.25">
      <c r="C3623" s="222"/>
      <c r="D3623" s="509" t="s">
        <v>1968</v>
      </c>
      <c r="E3623" s="525">
        <v>600000000</v>
      </c>
      <c r="F3623" s="254">
        <f>F3624</f>
        <v>600000000</v>
      </c>
      <c r="G3623" s="114">
        <f>F3623/E3623*100</f>
        <v>100</v>
      </c>
      <c r="H3623" s="117">
        <f t="shared" si="218"/>
        <v>100</v>
      </c>
      <c r="I3623" s="111"/>
    </row>
    <row r="3624" spans="3:9" ht="17.25" hidden="1" customHeight="1" x14ac:dyDescent="0.25">
      <c r="C3624" s="222"/>
      <c r="D3624" s="509" t="s">
        <v>275</v>
      </c>
      <c r="E3624" s="520">
        <v>600000000</v>
      </c>
      <c r="F3624" s="254">
        <f>F3625</f>
        <v>600000000</v>
      </c>
      <c r="G3624" s="114">
        <f>F3624/E3624*100</f>
        <v>100</v>
      </c>
      <c r="H3624" s="117">
        <f t="shared" si="218"/>
        <v>100</v>
      </c>
      <c r="I3624" s="111"/>
    </row>
    <row r="3625" spans="3:9" ht="12" hidden="1" customHeight="1" x14ac:dyDescent="0.25">
      <c r="C3625" s="222"/>
      <c r="D3625" s="521" t="s">
        <v>2751</v>
      </c>
      <c r="E3625" s="521">
        <v>600000000</v>
      </c>
      <c r="F3625" s="108">
        <v>600000000</v>
      </c>
      <c r="G3625" s="117">
        <f>F3625/E3625*100</f>
        <v>100</v>
      </c>
      <c r="H3625" s="117">
        <f t="shared" si="218"/>
        <v>100</v>
      </c>
      <c r="I3625" s="111"/>
    </row>
    <row r="3626" spans="3:9" ht="12" hidden="1" customHeight="1" x14ac:dyDescent="0.25">
      <c r="C3626" s="222"/>
      <c r="D3626" s="521"/>
      <c r="E3626" s="521"/>
      <c r="F3626" s="108"/>
      <c r="G3626" s="114"/>
      <c r="H3626" s="117"/>
      <c r="I3626" s="111"/>
    </row>
    <row r="3627" spans="3:9" ht="16.5" hidden="1" customHeight="1" x14ac:dyDescent="0.25">
      <c r="C3627" s="222"/>
      <c r="D3627" s="509" t="s">
        <v>630</v>
      </c>
      <c r="E3627" s="518">
        <v>1977557600</v>
      </c>
      <c r="F3627" s="254">
        <f>F3628</f>
        <v>1977557600</v>
      </c>
      <c r="G3627" s="114">
        <f>F3627/E3627*100</f>
        <v>100</v>
      </c>
      <c r="H3627" s="117">
        <f t="shared" si="218"/>
        <v>100</v>
      </c>
      <c r="I3627" s="111"/>
    </row>
    <row r="3628" spans="3:9" ht="16.5" hidden="1" customHeight="1" x14ac:dyDescent="0.25">
      <c r="C3628" s="222"/>
      <c r="D3628" s="509" t="s">
        <v>792</v>
      </c>
      <c r="E3628" s="513">
        <v>1977557600</v>
      </c>
      <c r="F3628" s="113">
        <f>F3629</f>
        <v>1977557600</v>
      </c>
      <c r="G3628" s="114">
        <f>F3628/E3628*100</f>
        <v>100</v>
      </c>
      <c r="H3628" s="117">
        <f t="shared" si="218"/>
        <v>100</v>
      </c>
      <c r="I3628" s="111"/>
    </row>
    <row r="3629" spans="3:9" ht="16.5" hidden="1" customHeight="1" x14ac:dyDescent="0.25">
      <c r="C3629" s="222"/>
      <c r="D3629" s="511" t="s">
        <v>2752</v>
      </c>
      <c r="E3629" s="514">
        <v>1977557600</v>
      </c>
      <c r="F3629" s="108">
        <v>1977557600</v>
      </c>
      <c r="G3629" s="117">
        <f>F3629/E3629*100</f>
        <v>100</v>
      </c>
      <c r="H3629" s="117">
        <f t="shared" si="218"/>
        <v>100</v>
      </c>
      <c r="I3629" s="111"/>
    </row>
    <row r="3630" spans="3:9" ht="16.5" hidden="1" customHeight="1" x14ac:dyDescent="0.25">
      <c r="C3630" s="222"/>
      <c r="D3630" s="511"/>
      <c r="E3630" s="514"/>
      <c r="F3630" s="253"/>
      <c r="G3630" s="114"/>
      <c r="H3630" s="117"/>
      <c r="I3630" s="111"/>
    </row>
    <row r="3631" spans="3:9" ht="16.5" hidden="1" customHeight="1" x14ac:dyDescent="0.2">
      <c r="C3631" s="222"/>
      <c r="D3631" s="519" t="s">
        <v>2753</v>
      </c>
      <c r="E3631" s="526">
        <v>500000000</v>
      </c>
      <c r="F3631" s="113">
        <f>F3632</f>
        <v>500000000</v>
      </c>
      <c r="G3631" s="114">
        <f>F3631/E3631*100</f>
        <v>100</v>
      </c>
      <c r="H3631" s="117">
        <f t="shared" si="218"/>
        <v>100</v>
      </c>
      <c r="I3631" s="111"/>
    </row>
    <row r="3632" spans="3:9" ht="16.5" hidden="1" customHeight="1" x14ac:dyDescent="0.25">
      <c r="C3632" s="222"/>
      <c r="D3632" s="509" t="s">
        <v>744</v>
      </c>
      <c r="E3632" s="513">
        <v>500000000</v>
      </c>
      <c r="F3632" s="254">
        <f>SUM(F3633:F3634)</f>
        <v>500000000</v>
      </c>
      <c r="G3632" s="114">
        <f>F3632/E3632*100</f>
        <v>100</v>
      </c>
      <c r="H3632" s="117">
        <f t="shared" si="218"/>
        <v>100</v>
      </c>
      <c r="I3632" s="111"/>
    </row>
    <row r="3633" spans="3:9" ht="16.5" hidden="1" customHeight="1" x14ac:dyDescent="0.25">
      <c r="C3633" s="222"/>
      <c r="D3633" s="511" t="s">
        <v>2754</v>
      </c>
      <c r="E3633" s="514">
        <v>400000000</v>
      </c>
      <c r="F3633" s="253">
        <v>400000000</v>
      </c>
      <c r="G3633" s="117">
        <f>F3633/E3633*100</f>
        <v>100</v>
      </c>
      <c r="H3633" s="117">
        <f t="shared" si="218"/>
        <v>100</v>
      </c>
      <c r="I3633" s="111"/>
    </row>
    <row r="3634" spans="3:9" ht="16.5" hidden="1" customHeight="1" x14ac:dyDescent="0.25">
      <c r="C3634" s="222"/>
      <c r="D3634" s="511" t="s">
        <v>2755</v>
      </c>
      <c r="E3634" s="514">
        <v>100000000</v>
      </c>
      <c r="F3634" s="253">
        <v>100000000</v>
      </c>
      <c r="G3634" s="117">
        <f>F3634/E3634*100</f>
        <v>100</v>
      </c>
      <c r="H3634" s="117">
        <f t="shared" si="218"/>
        <v>100</v>
      </c>
      <c r="I3634" s="111"/>
    </row>
    <row r="3635" spans="3:9" ht="16.5" hidden="1" customHeight="1" x14ac:dyDescent="0.25">
      <c r="C3635" s="222"/>
      <c r="D3635" s="511"/>
      <c r="E3635" s="514"/>
      <c r="F3635" s="253"/>
      <c r="G3635" s="114"/>
      <c r="H3635" s="117"/>
      <c r="I3635" s="111"/>
    </row>
    <row r="3636" spans="3:9" ht="16.5" hidden="1" customHeight="1" x14ac:dyDescent="0.2">
      <c r="C3636" s="222"/>
      <c r="D3636" s="519" t="s">
        <v>873</v>
      </c>
      <c r="E3636" s="527">
        <v>360000000</v>
      </c>
      <c r="F3636" s="254">
        <f>F3637</f>
        <v>360000000</v>
      </c>
      <c r="G3636" s="114">
        <f>F3636/E3636*100</f>
        <v>100</v>
      </c>
      <c r="H3636" s="117">
        <f t="shared" si="218"/>
        <v>100</v>
      </c>
      <c r="I3636" s="111"/>
    </row>
    <row r="3637" spans="3:9" s="115" customFormat="1" ht="16.5" hidden="1" customHeight="1" x14ac:dyDescent="0.25">
      <c r="C3637" s="222"/>
      <c r="D3637" s="509" t="s">
        <v>874</v>
      </c>
      <c r="E3637" s="513">
        <f>E3638</f>
        <v>360000000</v>
      </c>
      <c r="F3637" s="254">
        <f>SUM(F3638)</f>
        <v>360000000</v>
      </c>
      <c r="G3637" s="114">
        <f>F3637/E3637*100</f>
        <v>100</v>
      </c>
      <c r="H3637" s="117">
        <f t="shared" si="218"/>
        <v>100</v>
      </c>
      <c r="I3637" s="121"/>
    </row>
    <row r="3638" spans="3:9" ht="16.5" hidden="1" customHeight="1" x14ac:dyDescent="0.25">
      <c r="C3638" s="222"/>
      <c r="D3638" s="511" t="s">
        <v>2110</v>
      </c>
      <c r="E3638" s="514">
        <v>360000000</v>
      </c>
      <c r="F3638" s="253">
        <f>E3638</f>
        <v>360000000</v>
      </c>
      <c r="G3638" s="117">
        <f>F3638/E3638*100</f>
        <v>100</v>
      </c>
      <c r="H3638" s="117">
        <f t="shared" si="218"/>
        <v>100</v>
      </c>
      <c r="I3638" s="111"/>
    </row>
    <row r="3639" spans="3:9" ht="16.5" hidden="1" customHeight="1" x14ac:dyDescent="0.25">
      <c r="C3639" s="222"/>
      <c r="D3639" s="511"/>
      <c r="E3639" s="514"/>
      <c r="F3639" s="253"/>
      <c r="G3639" s="114"/>
      <c r="H3639" s="117"/>
      <c r="I3639" s="111"/>
    </row>
    <row r="3640" spans="3:9" ht="16.5" hidden="1" customHeight="1" x14ac:dyDescent="0.25">
      <c r="C3640" s="222"/>
      <c r="D3640" s="509" t="s">
        <v>329</v>
      </c>
      <c r="E3640" s="518">
        <v>681307000</v>
      </c>
      <c r="F3640" s="113">
        <f t="shared" ref="F3640:F3644" si="219">E3640</f>
        <v>681307000</v>
      </c>
      <c r="G3640" s="114">
        <f t="shared" ref="G3640:G3645" si="220">F3640/E3640*100</f>
        <v>100</v>
      </c>
      <c r="H3640" s="117">
        <f t="shared" si="218"/>
        <v>100</v>
      </c>
      <c r="I3640" s="111"/>
    </row>
    <row r="3641" spans="3:9" ht="16.5" hidden="1" customHeight="1" x14ac:dyDescent="0.25">
      <c r="C3641" s="222"/>
      <c r="D3641" s="511" t="s">
        <v>2756</v>
      </c>
      <c r="E3641" s="514">
        <v>681307000</v>
      </c>
      <c r="F3641" s="253">
        <f t="shared" si="219"/>
        <v>681307000</v>
      </c>
      <c r="G3641" s="117">
        <f t="shared" si="220"/>
        <v>100</v>
      </c>
      <c r="H3641" s="117">
        <f t="shared" si="218"/>
        <v>100</v>
      </c>
      <c r="I3641" s="111"/>
    </row>
    <row r="3642" spans="3:9" ht="16.5" hidden="1" customHeight="1" x14ac:dyDescent="0.25">
      <c r="C3642" s="222"/>
      <c r="D3642" s="509" t="s">
        <v>2757</v>
      </c>
      <c r="E3642" s="513">
        <v>640957000</v>
      </c>
      <c r="F3642" s="254">
        <f t="shared" si="219"/>
        <v>640957000</v>
      </c>
      <c r="G3642" s="114">
        <f t="shared" si="220"/>
        <v>100</v>
      </c>
      <c r="H3642" s="117">
        <f t="shared" si="218"/>
        <v>100</v>
      </c>
      <c r="I3642" s="111"/>
    </row>
    <row r="3643" spans="3:9" ht="16.5" hidden="1" customHeight="1" x14ac:dyDescent="0.25">
      <c r="C3643" s="222"/>
      <c r="D3643" s="511" t="s">
        <v>2758</v>
      </c>
      <c r="E3643" s="512">
        <v>18000000</v>
      </c>
      <c r="F3643" s="253">
        <f t="shared" si="219"/>
        <v>18000000</v>
      </c>
      <c r="G3643" s="117">
        <f t="shared" si="220"/>
        <v>100</v>
      </c>
      <c r="H3643" s="117">
        <f t="shared" si="218"/>
        <v>100</v>
      </c>
      <c r="I3643" s="111"/>
    </row>
    <row r="3644" spans="3:9" ht="16.5" hidden="1" customHeight="1" x14ac:dyDescent="0.25">
      <c r="C3644" s="222"/>
      <c r="D3644" s="509" t="s">
        <v>2759</v>
      </c>
      <c r="E3644" s="513">
        <v>40350000</v>
      </c>
      <c r="F3644" s="254">
        <f t="shared" si="219"/>
        <v>40350000</v>
      </c>
      <c r="G3644" s="114">
        <f t="shared" si="220"/>
        <v>100</v>
      </c>
      <c r="H3644" s="117">
        <f t="shared" si="218"/>
        <v>100</v>
      </c>
      <c r="I3644" s="111"/>
    </row>
    <row r="3645" spans="3:9" ht="16.5" hidden="1" customHeight="1" x14ac:dyDescent="0.25">
      <c r="C3645" s="222"/>
      <c r="D3645" s="511" t="s">
        <v>1754</v>
      </c>
      <c r="E3645" s="514">
        <v>40350000</v>
      </c>
      <c r="F3645" s="253">
        <f>E3645</f>
        <v>40350000</v>
      </c>
      <c r="G3645" s="114">
        <f t="shared" si="220"/>
        <v>100</v>
      </c>
      <c r="H3645" s="117">
        <f t="shared" si="218"/>
        <v>100</v>
      </c>
      <c r="I3645" s="111"/>
    </row>
    <row r="3646" spans="3:9" ht="16.5" hidden="1" customHeight="1" x14ac:dyDescent="0.25">
      <c r="C3646" s="222"/>
      <c r="D3646" s="511"/>
      <c r="E3646" s="514"/>
      <c r="F3646" s="253"/>
      <c r="G3646" s="114"/>
      <c r="H3646" s="117"/>
      <c r="I3646" s="111"/>
    </row>
    <row r="3647" spans="3:9" ht="16.5" hidden="1" customHeight="1" x14ac:dyDescent="0.25">
      <c r="C3647" s="222"/>
      <c r="D3647" s="509" t="s">
        <v>316</v>
      </c>
      <c r="E3647" s="513">
        <v>2297457000</v>
      </c>
      <c r="F3647" s="254">
        <f>E3647</f>
        <v>2297457000</v>
      </c>
      <c r="G3647" s="114">
        <f t="shared" ref="G3647:G3654" si="221">F3647/E3647*100</f>
        <v>100</v>
      </c>
      <c r="H3647" s="117">
        <f t="shared" si="218"/>
        <v>100</v>
      </c>
      <c r="I3647" s="111"/>
    </row>
    <row r="3648" spans="3:9" ht="16.5" hidden="1" customHeight="1" x14ac:dyDescent="0.25">
      <c r="C3648" s="222"/>
      <c r="D3648" s="511" t="s">
        <v>1759</v>
      </c>
      <c r="E3648" s="514">
        <v>2297457000</v>
      </c>
      <c r="F3648" s="253">
        <f>E3648</f>
        <v>2297457000</v>
      </c>
      <c r="G3648" s="117">
        <f t="shared" si="221"/>
        <v>100</v>
      </c>
      <c r="H3648" s="117">
        <f t="shared" si="218"/>
        <v>100</v>
      </c>
      <c r="I3648" s="111"/>
    </row>
    <row r="3649" spans="3:9" ht="16.5" hidden="1" customHeight="1" x14ac:dyDescent="0.25">
      <c r="C3649" s="222"/>
      <c r="D3649" s="511" t="s">
        <v>2760</v>
      </c>
      <c r="E3649" s="515">
        <v>1206950000</v>
      </c>
      <c r="F3649" s="253">
        <f>E3649</f>
        <v>1206950000</v>
      </c>
      <c r="G3649" s="117">
        <f t="shared" si="221"/>
        <v>100</v>
      </c>
      <c r="H3649" s="117">
        <f t="shared" si="218"/>
        <v>100</v>
      </c>
      <c r="I3649" s="111"/>
    </row>
    <row r="3650" spans="3:9" ht="16.5" hidden="1" customHeight="1" x14ac:dyDescent="0.25">
      <c r="C3650" s="222"/>
      <c r="D3650" s="511" t="s">
        <v>2761</v>
      </c>
      <c r="E3650" s="514">
        <v>289307000</v>
      </c>
      <c r="F3650" s="253">
        <f>E3650</f>
        <v>289307000</v>
      </c>
      <c r="G3650" s="117">
        <f t="shared" si="221"/>
        <v>100</v>
      </c>
      <c r="H3650" s="117">
        <f t="shared" si="218"/>
        <v>100</v>
      </c>
      <c r="I3650" s="111"/>
    </row>
    <row r="3651" spans="3:9" ht="16.5" hidden="1" customHeight="1" x14ac:dyDescent="0.25">
      <c r="C3651" s="222"/>
      <c r="D3651" s="511" t="s">
        <v>2762</v>
      </c>
      <c r="E3651" s="514">
        <v>801200000</v>
      </c>
      <c r="F3651" s="253">
        <f>E3651</f>
        <v>801200000</v>
      </c>
      <c r="G3651" s="117">
        <f t="shared" si="221"/>
        <v>100</v>
      </c>
      <c r="H3651" s="117">
        <f t="shared" si="218"/>
        <v>100</v>
      </c>
      <c r="I3651" s="111"/>
    </row>
    <row r="3652" spans="3:9" ht="18.75" hidden="1" customHeight="1" x14ac:dyDescent="0.2">
      <c r="C3652" s="222"/>
      <c r="D3652" s="519" t="s">
        <v>429</v>
      </c>
      <c r="E3652" s="513">
        <v>800000000</v>
      </c>
      <c r="F3652" s="113">
        <f>F3653</f>
        <v>800000000</v>
      </c>
      <c r="G3652" s="114">
        <f t="shared" si="221"/>
        <v>100</v>
      </c>
      <c r="H3652" s="117">
        <f t="shared" si="218"/>
        <v>100</v>
      </c>
      <c r="I3652" s="111"/>
    </row>
    <row r="3653" spans="3:9" ht="15" hidden="1" customHeight="1" x14ac:dyDescent="0.25">
      <c r="C3653" s="222"/>
      <c r="D3653" s="509" t="s">
        <v>441</v>
      </c>
      <c r="E3653" s="513">
        <v>800000000</v>
      </c>
      <c r="F3653" s="254">
        <f>E3653</f>
        <v>800000000</v>
      </c>
      <c r="G3653" s="114">
        <f t="shared" si="221"/>
        <v>100</v>
      </c>
      <c r="H3653" s="117">
        <f t="shared" si="218"/>
        <v>100</v>
      </c>
      <c r="I3653" s="111"/>
    </row>
    <row r="3654" spans="3:9" ht="16.5" hidden="1" customHeight="1" x14ac:dyDescent="0.25">
      <c r="C3654" s="222"/>
      <c r="D3654" s="511" t="s">
        <v>2763</v>
      </c>
      <c r="E3654" s="514">
        <v>800000000</v>
      </c>
      <c r="F3654" s="253">
        <f>E3654</f>
        <v>800000000</v>
      </c>
      <c r="G3654" s="117">
        <f t="shared" si="221"/>
        <v>100</v>
      </c>
      <c r="H3654" s="117">
        <f t="shared" si="218"/>
        <v>100</v>
      </c>
      <c r="I3654" s="111"/>
    </row>
    <row r="3655" spans="3:9" ht="16.5" hidden="1" customHeight="1" x14ac:dyDescent="0.25">
      <c r="C3655" s="222"/>
      <c r="D3655" s="511"/>
      <c r="E3655" s="514"/>
      <c r="F3655" s="253"/>
      <c r="G3655" s="114"/>
      <c r="H3655" s="117"/>
      <c r="I3655" s="111"/>
    </row>
    <row r="3656" spans="3:9" ht="16.5" hidden="1" customHeight="1" x14ac:dyDescent="0.25">
      <c r="C3656" s="222"/>
      <c r="D3656" s="513" t="s">
        <v>868</v>
      </c>
      <c r="E3656" s="513">
        <v>4500000000</v>
      </c>
      <c r="F3656" s="254">
        <f>E3656</f>
        <v>4500000000</v>
      </c>
      <c r="G3656" s="114">
        <f t="shared" ref="G3656:G3661" si="222">F3656/E3656*100</f>
        <v>100</v>
      </c>
      <c r="H3656" s="117">
        <f t="shared" si="218"/>
        <v>100</v>
      </c>
      <c r="I3656" s="111"/>
    </row>
    <row r="3657" spans="3:9" ht="16.5" hidden="1" customHeight="1" x14ac:dyDescent="0.25">
      <c r="C3657" s="222"/>
      <c r="D3657" s="509" t="s">
        <v>1285</v>
      </c>
      <c r="E3657" s="513">
        <v>2000000000</v>
      </c>
      <c r="F3657" s="254">
        <f>E3657</f>
        <v>2000000000</v>
      </c>
      <c r="G3657" s="114">
        <f t="shared" si="222"/>
        <v>100</v>
      </c>
      <c r="H3657" s="117">
        <f t="shared" si="218"/>
        <v>100</v>
      </c>
      <c r="I3657" s="111"/>
    </row>
    <row r="3658" spans="3:9" ht="16.5" hidden="1" customHeight="1" x14ac:dyDescent="0.25">
      <c r="C3658" s="222"/>
      <c r="D3658" s="511" t="s">
        <v>2764</v>
      </c>
      <c r="E3658" s="514">
        <v>2000000000</v>
      </c>
      <c r="F3658" s="253">
        <f>E3658</f>
        <v>2000000000</v>
      </c>
      <c r="G3658" s="117">
        <f t="shared" si="222"/>
        <v>100</v>
      </c>
      <c r="H3658" s="117">
        <f t="shared" si="218"/>
        <v>100</v>
      </c>
      <c r="I3658" s="111"/>
    </row>
    <row r="3659" spans="3:9" ht="16.5" hidden="1" customHeight="1" x14ac:dyDescent="0.2">
      <c r="C3659" s="222"/>
      <c r="D3659" s="511"/>
      <c r="E3659" s="270"/>
      <c r="F3659" s="108"/>
      <c r="G3659" s="114"/>
      <c r="H3659" s="117"/>
      <c r="I3659" s="111"/>
    </row>
    <row r="3660" spans="3:9" ht="16.5" hidden="1" customHeight="1" x14ac:dyDescent="0.25">
      <c r="C3660" s="222"/>
      <c r="D3660" s="509" t="s">
        <v>2765</v>
      </c>
      <c r="E3660" s="513">
        <v>2500000000</v>
      </c>
      <c r="F3660" s="254">
        <f>E3660</f>
        <v>2500000000</v>
      </c>
      <c r="G3660" s="114">
        <f t="shared" si="222"/>
        <v>100</v>
      </c>
      <c r="H3660" s="117">
        <f t="shared" si="218"/>
        <v>100</v>
      </c>
      <c r="I3660" s="111"/>
    </row>
    <row r="3661" spans="3:9" ht="16.5" hidden="1" customHeight="1" x14ac:dyDescent="0.25">
      <c r="C3661" s="222"/>
      <c r="D3661" s="511" t="s">
        <v>2766</v>
      </c>
      <c r="E3661" s="514">
        <v>2500000000</v>
      </c>
      <c r="F3661" s="253">
        <f>E3661</f>
        <v>2500000000</v>
      </c>
      <c r="G3661" s="117">
        <f t="shared" si="222"/>
        <v>100</v>
      </c>
      <c r="H3661" s="117">
        <f t="shared" si="218"/>
        <v>100</v>
      </c>
      <c r="I3661" s="111"/>
    </row>
    <row r="3662" spans="3:9" ht="16.5" hidden="1" customHeight="1" x14ac:dyDescent="0.25">
      <c r="C3662" s="222"/>
      <c r="D3662" s="511"/>
      <c r="E3662" s="514"/>
      <c r="F3662" s="253"/>
      <c r="G3662" s="114"/>
      <c r="H3662" s="117"/>
      <c r="I3662" s="111"/>
    </row>
    <row r="3663" spans="3:9" ht="16.5" hidden="1" customHeight="1" x14ac:dyDescent="0.25">
      <c r="C3663" s="222"/>
      <c r="D3663" s="509" t="s">
        <v>2767</v>
      </c>
      <c r="E3663" s="513">
        <v>7243320500</v>
      </c>
      <c r="F3663" s="113">
        <f>F3664+F3667+F3668</f>
        <v>7243320500</v>
      </c>
      <c r="G3663" s="114">
        <f t="shared" ref="G3663:G3669" si="223">F3663/E3663*100</f>
        <v>100</v>
      </c>
      <c r="H3663" s="117">
        <f t="shared" si="218"/>
        <v>100</v>
      </c>
      <c r="I3663" s="111"/>
    </row>
    <row r="3664" spans="3:9" ht="16.5" hidden="1" customHeight="1" x14ac:dyDescent="0.25">
      <c r="C3664" s="222"/>
      <c r="D3664" s="509" t="s">
        <v>766</v>
      </c>
      <c r="E3664" s="513">
        <v>4368320500</v>
      </c>
      <c r="F3664" s="254">
        <f>SUM(F3665:F3666)</f>
        <v>4368320500</v>
      </c>
      <c r="G3664" s="114">
        <f t="shared" si="223"/>
        <v>100</v>
      </c>
      <c r="H3664" s="117">
        <f t="shared" si="218"/>
        <v>100</v>
      </c>
      <c r="I3664" s="111"/>
    </row>
    <row r="3665" spans="3:9" ht="16.5" hidden="1" customHeight="1" x14ac:dyDescent="0.25">
      <c r="C3665" s="222"/>
      <c r="D3665" s="511" t="s">
        <v>1306</v>
      </c>
      <c r="E3665" s="514">
        <v>2768320500</v>
      </c>
      <c r="F3665" s="253">
        <f>E3665</f>
        <v>2768320500</v>
      </c>
      <c r="G3665" s="117">
        <f t="shared" si="223"/>
        <v>100</v>
      </c>
      <c r="H3665" s="117">
        <f t="shared" si="218"/>
        <v>100</v>
      </c>
      <c r="I3665" s="111"/>
    </row>
    <row r="3666" spans="3:9" ht="16.5" hidden="1" customHeight="1" x14ac:dyDescent="0.25">
      <c r="C3666" s="222"/>
      <c r="D3666" s="511" t="s">
        <v>2768</v>
      </c>
      <c r="E3666" s="514">
        <v>1600000000</v>
      </c>
      <c r="F3666" s="253">
        <f>E3666</f>
        <v>1600000000</v>
      </c>
      <c r="G3666" s="117">
        <f t="shared" si="223"/>
        <v>100</v>
      </c>
      <c r="H3666" s="117">
        <f t="shared" si="218"/>
        <v>100</v>
      </c>
      <c r="I3666" s="111"/>
    </row>
    <row r="3667" spans="3:9" ht="16.5" hidden="1" customHeight="1" x14ac:dyDescent="0.25">
      <c r="C3667" s="222"/>
      <c r="D3667" s="509" t="s">
        <v>418</v>
      </c>
      <c r="E3667" s="513">
        <v>2425000000</v>
      </c>
      <c r="F3667" s="254">
        <f>E3667</f>
        <v>2425000000</v>
      </c>
      <c r="G3667" s="114">
        <f t="shared" si="223"/>
        <v>100</v>
      </c>
      <c r="H3667" s="117">
        <f t="shared" si="218"/>
        <v>100</v>
      </c>
      <c r="I3667" s="111"/>
    </row>
    <row r="3668" spans="3:9" ht="16.5" hidden="1" customHeight="1" x14ac:dyDescent="0.25">
      <c r="C3668" s="222"/>
      <c r="D3668" s="511" t="s">
        <v>768</v>
      </c>
      <c r="E3668" s="513">
        <v>450000000</v>
      </c>
      <c r="F3668" s="254">
        <f>F3669</f>
        <v>450000000</v>
      </c>
      <c r="G3668" s="114">
        <f t="shared" si="223"/>
        <v>100</v>
      </c>
      <c r="H3668" s="117">
        <f t="shared" si="218"/>
        <v>100</v>
      </c>
      <c r="I3668" s="111"/>
    </row>
    <row r="3669" spans="3:9" ht="16.5" hidden="1" customHeight="1" x14ac:dyDescent="0.25">
      <c r="C3669" s="222"/>
      <c r="D3669" s="511" t="s">
        <v>2769</v>
      </c>
      <c r="E3669" s="514">
        <v>450000000</v>
      </c>
      <c r="F3669" s="253">
        <f>E3669</f>
        <v>450000000</v>
      </c>
      <c r="G3669" s="114">
        <f t="shared" si="223"/>
        <v>100</v>
      </c>
      <c r="H3669" s="117">
        <f t="shared" si="218"/>
        <v>100</v>
      </c>
      <c r="I3669" s="111"/>
    </row>
    <row r="3670" spans="3:9" ht="16.5" hidden="1" customHeight="1" x14ac:dyDescent="0.25">
      <c r="C3670" s="222"/>
      <c r="D3670" s="511"/>
      <c r="E3670" s="514"/>
      <c r="F3670" s="253"/>
      <c r="G3670" s="114"/>
      <c r="H3670" s="117"/>
      <c r="I3670" s="111"/>
    </row>
    <row r="3671" spans="3:9" ht="16.5" hidden="1" customHeight="1" x14ac:dyDescent="0.25">
      <c r="C3671" s="222"/>
      <c r="D3671" s="509" t="s">
        <v>1250</v>
      </c>
      <c r="E3671" s="513">
        <f>E3672+E3676+E3678</f>
        <v>2400000000</v>
      </c>
      <c r="F3671" s="113">
        <f>F3672+F3676+F3678</f>
        <v>2400000000</v>
      </c>
      <c r="G3671" s="114">
        <f t="shared" ref="G3671:G3679" si="224">F3671/E3671*100</f>
        <v>100</v>
      </c>
      <c r="H3671" s="117">
        <f t="shared" si="218"/>
        <v>100</v>
      </c>
      <c r="I3671" s="111"/>
    </row>
    <row r="3672" spans="3:9" ht="16.5" hidden="1" customHeight="1" x14ac:dyDescent="0.25">
      <c r="C3672" s="222"/>
      <c r="D3672" s="509" t="s">
        <v>343</v>
      </c>
      <c r="E3672" s="513">
        <f>SUM(E3673:E3675)</f>
        <v>1325000000</v>
      </c>
      <c r="F3672" s="254">
        <f>SUM(F3673:F3675)</f>
        <v>1325000000</v>
      </c>
      <c r="G3672" s="114">
        <f t="shared" si="224"/>
        <v>100</v>
      </c>
      <c r="H3672" s="117">
        <f t="shared" si="218"/>
        <v>100</v>
      </c>
      <c r="I3672" s="111"/>
    </row>
    <row r="3673" spans="3:9" ht="16.5" hidden="1" customHeight="1" x14ac:dyDescent="0.25">
      <c r="C3673" s="222"/>
      <c r="D3673" s="511" t="s">
        <v>880</v>
      </c>
      <c r="E3673" s="528">
        <v>400000000</v>
      </c>
      <c r="F3673" s="253">
        <f>E3673</f>
        <v>400000000</v>
      </c>
      <c r="G3673" s="117">
        <f t="shared" si="224"/>
        <v>100</v>
      </c>
      <c r="H3673" s="117">
        <f t="shared" si="218"/>
        <v>100</v>
      </c>
      <c r="I3673" s="111"/>
    </row>
    <row r="3674" spans="3:9" ht="16.5" hidden="1" customHeight="1" x14ac:dyDescent="0.25">
      <c r="C3674" s="222"/>
      <c r="D3674" s="511" t="s">
        <v>2770</v>
      </c>
      <c r="E3674" s="528">
        <v>775000000</v>
      </c>
      <c r="F3674" s="253">
        <f>E3674</f>
        <v>775000000</v>
      </c>
      <c r="G3674" s="117">
        <f t="shared" si="224"/>
        <v>100</v>
      </c>
      <c r="H3674" s="117">
        <f t="shared" si="218"/>
        <v>100</v>
      </c>
      <c r="I3674" s="111"/>
    </row>
    <row r="3675" spans="3:9" ht="24" hidden="1" customHeight="1" x14ac:dyDescent="0.25">
      <c r="C3675" s="222"/>
      <c r="D3675" s="511" t="s">
        <v>2771</v>
      </c>
      <c r="E3675" s="514">
        <v>150000000</v>
      </c>
      <c r="F3675" s="253">
        <f>E3675</f>
        <v>150000000</v>
      </c>
      <c r="G3675" s="117">
        <f t="shared" si="224"/>
        <v>100</v>
      </c>
      <c r="H3675" s="117">
        <f t="shared" si="218"/>
        <v>100</v>
      </c>
      <c r="I3675" s="111"/>
    </row>
    <row r="3676" spans="3:9" ht="16.5" hidden="1" customHeight="1" x14ac:dyDescent="0.25">
      <c r="C3676" s="222"/>
      <c r="D3676" s="509" t="s">
        <v>2105</v>
      </c>
      <c r="E3676" s="199">
        <f>SUM(E3677)</f>
        <v>675000000</v>
      </c>
      <c r="F3676" s="254">
        <f>F3677</f>
        <v>675000000</v>
      </c>
      <c r="G3676" s="114">
        <f t="shared" si="224"/>
        <v>100</v>
      </c>
      <c r="H3676" s="117">
        <f t="shared" si="218"/>
        <v>100</v>
      </c>
      <c r="I3676" s="111"/>
    </row>
    <row r="3677" spans="3:9" ht="16.5" hidden="1" customHeight="1" x14ac:dyDescent="0.25">
      <c r="C3677" s="222"/>
      <c r="D3677" s="511" t="s">
        <v>2772</v>
      </c>
      <c r="E3677" s="197">
        <v>675000000</v>
      </c>
      <c r="F3677" s="253">
        <f>E3677</f>
        <v>675000000</v>
      </c>
      <c r="G3677" s="117">
        <f t="shared" si="224"/>
        <v>100</v>
      </c>
      <c r="H3677" s="117">
        <f t="shared" si="218"/>
        <v>100</v>
      </c>
      <c r="I3677" s="111"/>
    </row>
    <row r="3678" spans="3:9" ht="22.5" hidden="1" customHeight="1" x14ac:dyDescent="0.25">
      <c r="C3678" s="222"/>
      <c r="D3678" s="529" t="s">
        <v>736</v>
      </c>
      <c r="E3678" s="530">
        <f>E3679</f>
        <v>400000000</v>
      </c>
      <c r="F3678" s="254">
        <f>F3679</f>
        <v>400000000</v>
      </c>
      <c r="G3678" s="114">
        <f t="shared" si="224"/>
        <v>100</v>
      </c>
      <c r="H3678" s="117">
        <f t="shared" si="218"/>
        <v>100</v>
      </c>
      <c r="I3678" s="111"/>
    </row>
    <row r="3679" spans="3:9" ht="16.5" hidden="1" customHeight="1" x14ac:dyDescent="0.25">
      <c r="C3679" s="222"/>
      <c r="D3679" s="511" t="s">
        <v>2773</v>
      </c>
      <c r="E3679" s="528">
        <v>400000000</v>
      </c>
      <c r="F3679" s="108">
        <v>400000000</v>
      </c>
      <c r="G3679" s="117">
        <f t="shared" si="224"/>
        <v>100</v>
      </c>
      <c r="H3679" s="117">
        <f t="shared" si="218"/>
        <v>100</v>
      </c>
      <c r="I3679" s="111"/>
    </row>
    <row r="3680" spans="3:9" ht="16.5" hidden="1" customHeight="1" x14ac:dyDescent="0.25">
      <c r="C3680" s="222"/>
      <c r="D3680" s="511"/>
      <c r="E3680" s="528"/>
      <c r="F3680" s="108"/>
      <c r="G3680" s="114"/>
      <c r="H3680" s="117"/>
      <c r="I3680" s="111"/>
    </row>
    <row r="3681" spans="3:9" ht="16.5" hidden="1" customHeight="1" x14ac:dyDescent="0.25">
      <c r="C3681" s="222"/>
      <c r="D3681" s="509" t="s">
        <v>1432</v>
      </c>
      <c r="E3681" s="518">
        <f>E3682+E3690+E3692</f>
        <v>9135415000</v>
      </c>
      <c r="F3681" s="254">
        <f>F3682+F3690+F3692</f>
        <v>8889372000</v>
      </c>
      <c r="G3681" s="114">
        <f t="shared" ref="G3681:G3693" si="225">F3681/E3681*100</f>
        <v>97.306712393470903</v>
      </c>
      <c r="H3681" s="117">
        <f>(H3682+H3690+H3692)/3</f>
        <v>97.503936548487289</v>
      </c>
      <c r="I3681" s="111"/>
    </row>
    <row r="3682" spans="3:9" ht="16.5" hidden="1" customHeight="1" x14ac:dyDescent="0.25">
      <c r="C3682" s="222"/>
      <c r="D3682" s="509" t="s">
        <v>496</v>
      </c>
      <c r="E3682" s="525">
        <f>SUM(E3683:E3689)</f>
        <v>5785415000</v>
      </c>
      <c r="F3682" s="254">
        <f>SUM(F3683:F3689)</f>
        <v>5740972000</v>
      </c>
      <c r="G3682" s="114">
        <f t="shared" si="225"/>
        <v>99.231809645461908</v>
      </c>
      <c r="H3682" s="117">
        <f t="shared" si="218"/>
        <v>99.231809645461908</v>
      </c>
      <c r="I3682" s="111"/>
    </row>
    <row r="3683" spans="3:9" ht="16.5" hidden="1" customHeight="1" x14ac:dyDescent="0.25">
      <c r="C3683" s="222"/>
      <c r="D3683" s="511" t="s">
        <v>2774</v>
      </c>
      <c r="E3683" s="514">
        <v>913000000</v>
      </c>
      <c r="F3683" s="253">
        <v>913000000</v>
      </c>
      <c r="G3683" s="117">
        <f t="shared" si="225"/>
        <v>100</v>
      </c>
      <c r="H3683" s="117">
        <f t="shared" si="218"/>
        <v>100</v>
      </c>
      <c r="I3683" s="111"/>
    </row>
    <row r="3684" spans="3:9" ht="16.5" hidden="1" customHeight="1" x14ac:dyDescent="0.25">
      <c r="C3684" s="222"/>
      <c r="D3684" s="511" t="s">
        <v>2775</v>
      </c>
      <c r="E3684" s="514">
        <v>258000000</v>
      </c>
      <c r="F3684" s="253">
        <v>258000000</v>
      </c>
      <c r="G3684" s="117">
        <f t="shared" si="225"/>
        <v>100</v>
      </c>
      <c r="H3684" s="117">
        <f t="shared" si="218"/>
        <v>100</v>
      </c>
      <c r="I3684" s="111"/>
    </row>
    <row r="3685" spans="3:9" ht="16.5" hidden="1" customHeight="1" x14ac:dyDescent="0.25">
      <c r="C3685" s="222"/>
      <c r="D3685" s="511" t="s">
        <v>2776</v>
      </c>
      <c r="E3685" s="514">
        <v>320672000</v>
      </c>
      <c r="F3685" s="253">
        <v>320672000</v>
      </c>
      <c r="G3685" s="117">
        <f t="shared" si="225"/>
        <v>100</v>
      </c>
      <c r="H3685" s="117">
        <f t="shared" si="218"/>
        <v>100</v>
      </c>
      <c r="I3685" s="111"/>
    </row>
    <row r="3686" spans="3:9" ht="16.5" hidden="1" customHeight="1" x14ac:dyDescent="0.25">
      <c r="C3686" s="222"/>
      <c r="D3686" s="511" t="s">
        <v>2777</v>
      </c>
      <c r="E3686" s="514">
        <v>264300000</v>
      </c>
      <c r="F3686" s="253">
        <v>264300000</v>
      </c>
      <c r="G3686" s="117">
        <f t="shared" si="225"/>
        <v>100</v>
      </c>
      <c r="H3686" s="117">
        <f t="shared" si="218"/>
        <v>100</v>
      </c>
      <c r="I3686" s="111"/>
    </row>
    <row r="3687" spans="3:9" ht="16.5" hidden="1" customHeight="1" x14ac:dyDescent="0.25">
      <c r="C3687" s="222"/>
      <c r="D3687" s="511" t="s">
        <v>2778</v>
      </c>
      <c r="E3687" s="514">
        <v>765000000</v>
      </c>
      <c r="F3687" s="253">
        <v>765000000</v>
      </c>
      <c r="G3687" s="117">
        <f t="shared" si="225"/>
        <v>100</v>
      </c>
      <c r="H3687" s="117">
        <f t="shared" si="218"/>
        <v>100</v>
      </c>
      <c r="I3687" s="111"/>
    </row>
    <row r="3688" spans="3:9" ht="39.75" hidden="1" customHeight="1" x14ac:dyDescent="0.25">
      <c r="C3688" s="222"/>
      <c r="D3688" s="511" t="s">
        <v>2779</v>
      </c>
      <c r="E3688" s="521">
        <v>2519443000</v>
      </c>
      <c r="F3688" s="253">
        <v>2475000000</v>
      </c>
      <c r="G3688" s="117">
        <f t="shared" si="225"/>
        <v>98.235998988665358</v>
      </c>
      <c r="H3688" s="117">
        <f t="shared" si="218"/>
        <v>98.235998988665358</v>
      </c>
      <c r="I3688" s="111"/>
    </row>
    <row r="3689" spans="3:9" ht="16.5" hidden="1" customHeight="1" x14ac:dyDescent="0.25">
      <c r="C3689" s="222"/>
      <c r="D3689" s="511" t="s">
        <v>2780</v>
      </c>
      <c r="E3689" s="514">
        <v>745000000</v>
      </c>
      <c r="F3689" s="253">
        <v>745000000</v>
      </c>
      <c r="G3689" s="117">
        <f t="shared" si="225"/>
        <v>100</v>
      </c>
      <c r="H3689" s="117">
        <f t="shared" si="218"/>
        <v>100</v>
      </c>
      <c r="I3689" s="111"/>
    </row>
    <row r="3690" spans="3:9" ht="18.75" hidden="1" customHeight="1" x14ac:dyDescent="0.25">
      <c r="C3690" s="222"/>
      <c r="D3690" s="529" t="s">
        <v>517</v>
      </c>
      <c r="E3690" s="513">
        <v>3000000000</v>
      </c>
      <c r="F3690" s="254">
        <v>2798400000</v>
      </c>
      <c r="G3690" s="114">
        <f t="shared" si="225"/>
        <v>93.28</v>
      </c>
      <c r="H3690" s="117">
        <f t="shared" ref="H3690:H3702" si="226">+G3690</f>
        <v>93.28</v>
      </c>
      <c r="I3690" s="111"/>
    </row>
    <row r="3691" spans="3:9" ht="16.5" hidden="1" customHeight="1" x14ac:dyDescent="0.25">
      <c r="C3691" s="222"/>
      <c r="D3691" s="511" t="s">
        <v>2781</v>
      </c>
      <c r="E3691" s="514">
        <v>3000000000</v>
      </c>
      <c r="F3691" s="253">
        <v>2798400000</v>
      </c>
      <c r="G3691" s="117">
        <f t="shared" si="225"/>
        <v>93.28</v>
      </c>
      <c r="H3691" s="117">
        <f t="shared" si="226"/>
        <v>93.28</v>
      </c>
      <c r="I3691" s="111"/>
    </row>
    <row r="3692" spans="3:9" ht="16.5" hidden="1" customHeight="1" x14ac:dyDescent="0.25">
      <c r="C3692" s="222"/>
      <c r="D3692" s="529" t="s">
        <v>776</v>
      </c>
      <c r="E3692" s="513">
        <v>350000000</v>
      </c>
      <c r="F3692" s="253">
        <v>350000000</v>
      </c>
      <c r="G3692" s="117">
        <f t="shared" si="225"/>
        <v>100</v>
      </c>
      <c r="H3692" s="117">
        <f t="shared" si="226"/>
        <v>100</v>
      </c>
      <c r="I3692" s="111"/>
    </row>
    <row r="3693" spans="3:9" ht="16.5" hidden="1" customHeight="1" x14ac:dyDescent="0.25">
      <c r="C3693" s="222"/>
      <c r="D3693" s="511" t="s">
        <v>2782</v>
      </c>
      <c r="E3693" s="514">
        <v>350000000</v>
      </c>
      <c r="F3693" s="253">
        <v>350000000</v>
      </c>
      <c r="G3693" s="117">
        <f t="shared" si="225"/>
        <v>100</v>
      </c>
      <c r="H3693" s="117">
        <f t="shared" si="226"/>
        <v>100</v>
      </c>
      <c r="I3693" s="111"/>
    </row>
    <row r="3694" spans="3:9" ht="16.5" hidden="1" customHeight="1" x14ac:dyDescent="0.25">
      <c r="C3694" s="222"/>
      <c r="D3694" s="511"/>
      <c r="E3694" s="514"/>
      <c r="F3694" s="253"/>
      <c r="G3694" s="114"/>
      <c r="H3694" s="117"/>
      <c r="I3694" s="111"/>
    </row>
    <row r="3695" spans="3:9" ht="16.5" hidden="1" customHeight="1" x14ac:dyDescent="0.2">
      <c r="C3695" s="222"/>
      <c r="D3695" s="519" t="s">
        <v>2783</v>
      </c>
      <c r="E3695" s="513">
        <f>+E3696</f>
        <v>3122320500</v>
      </c>
      <c r="F3695" s="253">
        <f>F3696</f>
        <v>3122320500</v>
      </c>
      <c r="G3695" s="114">
        <f t="shared" ref="G3695:G3702" si="227">F3695/E3695*100</f>
        <v>100</v>
      </c>
      <c r="H3695" s="117">
        <f t="shared" si="226"/>
        <v>100</v>
      </c>
      <c r="I3695" s="111"/>
    </row>
    <row r="3696" spans="3:9" ht="16.5" hidden="1" customHeight="1" x14ac:dyDescent="0.25">
      <c r="C3696" s="222"/>
      <c r="D3696" s="529" t="s">
        <v>780</v>
      </c>
      <c r="E3696" s="513">
        <f>+E3697+E3698+E3699+E3700+E3701+E3702</f>
        <v>3122320500</v>
      </c>
      <c r="F3696" s="254">
        <f>SUM(F3697:F3702)</f>
        <v>3122320500</v>
      </c>
      <c r="G3696" s="114">
        <f t="shared" si="227"/>
        <v>100</v>
      </c>
      <c r="H3696" s="117">
        <f t="shared" si="226"/>
        <v>100</v>
      </c>
      <c r="I3696" s="111"/>
    </row>
    <row r="3697" spans="3:9" ht="16.5" hidden="1" customHeight="1" x14ac:dyDescent="0.25">
      <c r="C3697" s="222"/>
      <c r="D3697" s="511" t="s">
        <v>2784</v>
      </c>
      <c r="E3697" s="514">
        <v>1268320500</v>
      </c>
      <c r="F3697" s="253">
        <v>1268320500</v>
      </c>
      <c r="G3697" s="117">
        <f t="shared" si="227"/>
        <v>100</v>
      </c>
      <c r="H3697" s="117">
        <f t="shared" si="226"/>
        <v>100</v>
      </c>
      <c r="I3697" s="111"/>
    </row>
    <row r="3698" spans="3:9" ht="16.5" hidden="1" customHeight="1" x14ac:dyDescent="0.25">
      <c r="C3698" s="222"/>
      <c r="D3698" s="511" t="s">
        <v>2785</v>
      </c>
      <c r="E3698" s="528">
        <v>200000000</v>
      </c>
      <c r="F3698" s="253">
        <v>200000000</v>
      </c>
      <c r="G3698" s="117">
        <f t="shared" si="227"/>
        <v>100</v>
      </c>
      <c r="H3698" s="117">
        <f t="shared" si="226"/>
        <v>100</v>
      </c>
      <c r="I3698" s="111"/>
    </row>
    <row r="3699" spans="3:9" ht="16.5" hidden="1" customHeight="1" x14ac:dyDescent="0.25">
      <c r="C3699" s="222"/>
      <c r="D3699" s="511" t="s">
        <v>2786</v>
      </c>
      <c r="E3699" s="528">
        <v>154000000</v>
      </c>
      <c r="F3699" s="253">
        <v>154000000</v>
      </c>
      <c r="G3699" s="117">
        <f t="shared" si="227"/>
        <v>100</v>
      </c>
      <c r="H3699" s="117">
        <f t="shared" si="226"/>
        <v>100</v>
      </c>
      <c r="I3699" s="111"/>
    </row>
    <row r="3700" spans="3:9" ht="16.5" hidden="1" customHeight="1" x14ac:dyDescent="0.25">
      <c r="C3700" s="222"/>
      <c r="D3700" s="511" t="s">
        <v>1419</v>
      </c>
      <c r="E3700" s="528">
        <v>500000000</v>
      </c>
      <c r="F3700" s="253">
        <v>500000000</v>
      </c>
      <c r="G3700" s="117">
        <f t="shared" si="227"/>
        <v>100</v>
      </c>
      <c r="H3700" s="117">
        <f t="shared" si="226"/>
        <v>100</v>
      </c>
      <c r="I3700" s="111"/>
    </row>
    <row r="3701" spans="3:9" ht="16.5" hidden="1" customHeight="1" x14ac:dyDescent="0.25">
      <c r="C3701" s="222"/>
      <c r="D3701" s="511" t="s">
        <v>2787</v>
      </c>
      <c r="E3701" s="528">
        <v>500000000</v>
      </c>
      <c r="F3701" s="253">
        <v>500000000</v>
      </c>
      <c r="G3701" s="117">
        <f t="shared" si="227"/>
        <v>100</v>
      </c>
      <c r="H3701" s="117">
        <f t="shared" si="226"/>
        <v>100</v>
      </c>
      <c r="I3701" s="111"/>
    </row>
    <row r="3702" spans="3:9" ht="16.5" hidden="1" customHeight="1" x14ac:dyDescent="0.25">
      <c r="C3702" s="222"/>
      <c r="D3702" s="511" t="s">
        <v>2788</v>
      </c>
      <c r="E3702" s="515">
        <v>500000000</v>
      </c>
      <c r="F3702" s="253">
        <v>500000000</v>
      </c>
      <c r="G3702" s="117">
        <f t="shared" si="227"/>
        <v>100</v>
      </c>
      <c r="H3702" s="117">
        <f t="shared" si="226"/>
        <v>100</v>
      </c>
      <c r="I3702" s="111"/>
    </row>
    <row r="3703" spans="3:9" ht="16.5" hidden="1" customHeight="1" x14ac:dyDescent="0.25">
      <c r="C3703" s="222"/>
      <c r="D3703" s="48"/>
      <c r="E3703" s="107"/>
      <c r="F3703" s="113"/>
      <c r="G3703" s="117"/>
      <c r="H3703" s="117"/>
      <c r="I3703" s="111"/>
    </row>
    <row r="3704" spans="3:9" ht="16.5" customHeight="1" x14ac:dyDescent="0.25">
      <c r="C3704" s="222" t="s">
        <v>2789</v>
      </c>
      <c r="D3704" s="280" t="s">
        <v>2790</v>
      </c>
      <c r="E3704" s="292">
        <f>E3705+E3738+E3742+E3766+E3770+E3783+E3789+E3794+E3799+E3803+E3808+E3812+E3816+E3828+E3832+E3838</f>
        <v>94899955000</v>
      </c>
      <c r="F3704" s="113">
        <f>F3705+F3738+F3742+F3766+F3770+F3783+F3789+F3794+F3799+F3803+F3808+F3812+F3816+F3828+F3832+F3838</f>
        <v>82543975563</v>
      </c>
      <c r="G3704" s="114">
        <f t="shared" ref="G3704:G3736" si="228">F3704/E3704*100</f>
        <v>86.979994419386188</v>
      </c>
      <c r="H3704" s="114">
        <f>(H3705+H3738+H3742+H3766+H3770+H3783+H3789+H3794+H3799+H3803+H3808+H3812+H3816+H3828+H3832+H3837)/16</f>
        <v>95.40625</v>
      </c>
      <c r="I3704" s="111"/>
    </row>
    <row r="3705" spans="3:9" ht="16.5" hidden="1" customHeight="1" x14ac:dyDescent="0.25">
      <c r="C3705" s="222"/>
      <c r="D3705" s="280" t="s">
        <v>678</v>
      </c>
      <c r="E3705" s="293">
        <v>28469986500</v>
      </c>
      <c r="F3705" s="531">
        <f>F3706+F3710+F3723+F3731+F3735</f>
        <v>23163057977</v>
      </c>
      <c r="G3705" s="333">
        <f t="shared" si="228"/>
        <v>81.359567827684074</v>
      </c>
      <c r="H3705" s="333">
        <v>82</v>
      </c>
      <c r="I3705" s="111"/>
    </row>
    <row r="3706" spans="3:9" s="115" customFormat="1" ht="16.5" hidden="1" customHeight="1" x14ac:dyDescent="0.25">
      <c r="C3706" s="222"/>
      <c r="D3706" s="280" t="s">
        <v>797</v>
      </c>
      <c r="E3706" s="293">
        <v>1422000000</v>
      </c>
      <c r="F3706" s="531">
        <f>F3707+F3708+F3709</f>
        <v>1234833517</v>
      </c>
      <c r="G3706" s="333">
        <f t="shared" si="228"/>
        <v>86.837800070323496</v>
      </c>
      <c r="H3706" s="333">
        <v>87</v>
      </c>
      <c r="I3706" s="121"/>
    </row>
    <row r="3707" spans="3:9" ht="16.5" hidden="1" customHeight="1" x14ac:dyDescent="0.25">
      <c r="C3707" s="222"/>
      <c r="D3707" s="294" t="s">
        <v>2791</v>
      </c>
      <c r="E3707" s="123">
        <v>630000000</v>
      </c>
      <c r="F3707" s="243">
        <v>629756000</v>
      </c>
      <c r="G3707" s="379">
        <f t="shared" si="228"/>
        <v>99.961269841269839</v>
      </c>
      <c r="H3707" s="379">
        <v>100</v>
      </c>
      <c r="I3707" s="111"/>
    </row>
    <row r="3708" spans="3:9" ht="16.5" hidden="1" customHeight="1" x14ac:dyDescent="0.25">
      <c r="C3708" s="222"/>
      <c r="D3708" s="294" t="s">
        <v>2792</v>
      </c>
      <c r="E3708" s="123">
        <v>672000000</v>
      </c>
      <c r="F3708" s="243">
        <v>486000000</v>
      </c>
      <c r="G3708" s="379">
        <f t="shared" si="228"/>
        <v>72.321428571428569</v>
      </c>
      <c r="H3708" s="379">
        <v>73</v>
      </c>
      <c r="I3708" s="111"/>
    </row>
    <row r="3709" spans="3:9" ht="18.75" hidden="1" customHeight="1" x14ac:dyDescent="0.25">
      <c r="C3709" s="222"/>
      <c r="D3709" s="294" t="s">
        <v>2074</v>
      </c>
      <c r="E3709" s="123">
        <v>120000000</v>
      </c>
      <c r="F3709" s="243">
        <v>119077517</v>
      </c>
      <c r="G3709" s="379">
        <f t="shared" si="228"/>
        <v>99.231264166666662</v>
      </c>
      <c r="H3709" s="379">
        <v>100</v>
      </c>
      <c r="I3709" s="111"/>
    </row>
    <row r="3710" spans="3:9" s="115" customFormat="1" ht="16.5" hidden="1" customHeight="1" x14ac:dyDescent="0.25">
      <c r="C3710" s="222"/>
      <c r="D3710" s="280" t="s">
        <v>680</v>
      </c>
      <c r="E3710" s="293">
        <v>17214800000</v>
      </c>
      <c r="F3710" s="531">
        <f>SUM(F3711:F3722)</f>
        <v>12998479660</v>
      </c>
      <c r="G3710" s="333">
        <f t="shared" si="228"/>
        <v>75.50758452029649</v>
      </c>
      <c r="H3710" s="333">
        <v>76</v>
      </c>
      <c r="I3710" s="121"/>
    </row>
    <row r="3711" spans="3:9" ht="16.5" hidden="1" customHeight="1" x14ac:dyDescent="0.25">
      <c r="C3711" s="222"/>
      <c r="D3711" s="294" t="s">
        <v>2714</v>
      </c>
      <c r="E3711" s="123">
        <v>1684600000</v>
      </c>
      <c r="F3711" s="243">
        <v>1385955660</v>
      </c>
      <c r="G3711" s="379">
        <f t="shared" si="228"/>
        <v>82.272091891250142</v>
      </c>
      <c r="H3711" s="379">
        <v>83</v>
      </c>
      <c r="I3711" s="111"/>
    </row>
    <row r="3712" spans="3:9" ht="16.5" hidden="1" customHeight="1" x14ac:dyDescent="0.25">
      <c r="C3712" s="222"/>
      <c r="D3712" s="294" t="s">
        <v>2793</v>
      </c>
      <c r="E3712" s="123">
        <v>720000000</v>
      </c>
      <c r="F3712" s="243">
        <v>0</v>
      </c>
      <c r="G3712" s="379">
        <f t="shared" si="228"/>
        <v>0</v>
      </c>
      <c r="H3712" s="379">
        <v>0</v>
      </c>
      <c r="I3712" s="111"/>
    </row>
    <row r="3713" spans="3:9" ht="16.5" hidden="1" customHeight="1" x14ac:dyDescent="0.25">
      <c r="C3713" s="222"/>
      <c r="D3713" s="294" t="s">
        <v>2794</v>
      </c>
      <c r="E3713" s="123">
        <v>1920000000</v>
      </c>
      <c r="F3713" s="243">
        <v>1260000000</v>
      </c>
      <c r="G3713" s="379">
        <f t="shared" si="228"/>
        <v>65.625</v>
      </c>
      <c r="H3713" s="379">
        <v>66</v>
      </c>
      <c r="I3713" s="111"/>
    </row>
    <row r="3714" spans="3:9" ht="16.5" hidden="1" customHeight="1" x14ac:dyDescent="0.25">
      <c r="C3714" s="222"/>
      <c r="D3714" s="294" t="s">
        <v>2795</v>
      </c>
      <c r="E3714" s="123">
        <v>960000000</v>
      </c>
      <c r="F3714" s="243">
        <v>764000000</v>
      </c>
      <c r="G3714" s="379">
        <f t="shared" si="228"/>
        <v>79.583333333333329</v>
      </c>
      <c r="H3714" s="379">
        <v>80</v>
      </c>
      <c r="I3714" s="111"/>
    </row>
    <row r="3715" spans="3:9" ht="16.5" hidden="1" customHeight="1" x14ac:dyDescent="0.25">
      <c r="C3715" s="222"/>
      <c r="D3715" s="294" t="s">
        <v>2796</v>
      </c>
      <c r="E3715" s="123">
        <v>1590000000</v>
      </c>
      <c r="F3715" s="243">
        <v>0</v>
      </c>
      <c r="G3715" s="379">
        <f t="shared" si="228"/>
        <v>0</v>
      </c>
      <c r="H3715" s="379">
        <v>0</v>
      </c>
      <c r="I3715" s="111"/>
    </row>
    <row r="3716" spans="3:9" ht="39.75" hidden="1" customHeight="1" x14ac:dyDescent="0.25">
      <c r="C3716" s="222"/>
      <c r="D3716" s="294" t="s">
        <v>2797</v>
      </c>
      <c r="E3716" s="123">
        <v>312000000</v>
      </c>
      <c r="F3716" s="243">
        <v>48000000</v>
      </c>
      <c r="G3716" s="379">
        <f t="shared" si="228"/>
        <v>15.384615384615385</v>
      </c>
      <c r="H3716" s="379">
        <v>16</v>
      </c>
      <c r="I3716" s="111"/>
    </row>
    <row r="3717" spans="3:9" ht="18.75" hidden="1" customHeight="1" x14ac:dyDescent="0.25">
      <c r="C3717" s="222"/>
      <c r="D3717" s="294" t="s">
        <v>2798</v>
      </c>
      <c r="E3717" s="123">
        <v>5302800000</v>
      </c>
      <c r="F3717" s="243">
        <v>4819307000</v>
      </c>
      <c r="G3717" s="379">
        <f t="shared" si="228"/>
        <v>90.882307460209702</v>
      </c>
      <c r="H3717" s="379">
        <v>92</v>
      </c>
      <c r="I3717" s="111"/>
    </row>
    <row r="3718" spans="3:9" ht="18.75" hidden="1" customHeight="1" x14ac:dyDescent="0.25">
      <c r="C3718" s="222"/>
      <c r="D3718" s="294" t="s">
        <v>2082</v>
      </c>
      <c r="E3718" s="123">
        <v>2322250000</v>
      </c>
      <c r="F3718" s="243">
        <v>2322250000</v>
      </c>
      <c r="G3718" s="379">
        <f t="shared" si="228"/>
        <v>100</v>
      </c>
      <c r="H3718" s="379">
        <v>100</v>
      </c>
      <c r="I3718" s="111"/>
    </row>
    <row r="3719" spans="3:9" ht="39.75" hidden="1" customHeight="1" x14ac:dyDescent="0.25">
      <c r="C3719" s="222"/>
      <c r="D3719" s="294" t="s">
        <v>2799</v>
      </c>
      <c r="E3719" s="123">
        <v>431150000</v>
      </c>
      <c r="F3719" s="243">
        <v>430192000</v>
      </c>
      <c r="G3719" s="379">
        <f t="shared" si="228"/>
        <v>99.777803548648961</v>
      </c>
      <c r="H3719" s="379">
        <v>100</v>
      </c>
      <c r="I3719" s="111"/>
    </row>
    <row r="3720" spans="3:9" ht="39.75" hidden="1" customHeight="1" x14ac:dyDescent="0.25">
      <c r="C3720" s="222"/>
      <c r="D3720" s="294" t="s">
        <v>2800</v>
      </c>
      <c r="E3720" s="123">
        <v>1200000000</v>
      </c>
      <c r="F3720" s="243">
        <v>1198164000</v>
      </c>
      <c r="G3720" s="379">
        <f t="shared" si="228"/>
        <v>99.846999999999994</v>
      </c>
      <c r="H3720" s="379">
        <v>100</v>
      </c>
      <c r="I3720" s="111"/>
    </row>
    <row r="3721" spans="3:9" ht="18.75" hidden="1" customHeight="1" x14ac:dyDescent="0.25">
      <c r="C3721" s="222"/>
      <c r="D3721" s="294" t="s">
        <v>2801</v>
      </c>
      <c r="E3721" s="123">
        <v>288000000</v>
      </c>
      <c r="F3721" s="243">
        <v>287232000</v>
      </c>
      <c r="G3721" s="379">
        <f t="shared" si="228"/>
        <v>99.733333333333334</v>
      </c>
      <c r="H3721" s="379">
        <v>100</v>
      </c>
      <c r="I3721" s="111"/>
    </row>
    <row r="3722" spans="3:9" ht="39.75" hidden="1" customHeight="1" x14ac:dyDescent="0.25">
      <c r="C3722" s="222"/>
      <c r="D3722" s="294" t="s">
        <v>2802</v>
      </c>
      <c r="E3722" s="123">
        <v>484000000</v>
      </c>
      <c r="F3722" s="243">
        <v>483379000</v>
      </c>
      <c r="G3722" s="379">
        <f t="shared" si="228"/>
        <v>99.87169421487603</v>
      </c>
      <c r="H3722" s="379">
        <v>100</v>
      </c>
      <c r="I3722" s="111"/>
    </row>
    <row r="3723" spans="3:9" s="115" customFormat="1" ht="16.5" hidden="1" customHeight="1" x14ac:dyDescent="0.25">
      <c r="C3723" s="222"/>
      <c r="D3723" s="295" t="s">
        <v>693</v>
      </c>
      <c r="E3723" s="293">
        <v>4365197500</v>
      </c>
      <c r="F3723" s="531">
        <f>SUM(F3724:F3730)</f>
        <v>3464275800</v>
      </c>
      <c r="G3723" s="333">
        <f t="shared" si="228"/>
        <v>79.36126143204288</v>
      </c>
      <c r="H3723" s="333">
        <v>80</v>
      </c>
      <c r="I3723" s="121"/>
    </row>
    <row r="3724" spans="3:9" ht="39.75" hidden="1" customHeight="1" x14ac:dyDescent="0.25">
      <c r="C3724" s="222"/>
      <c r="D3724" s="294" t="s">
        <v>2803</v>
      </c>
      <c r="E3724" s="123">
        <v>680600000</v>
      </c>
      <c r="F3724" s="243">
        <v>539116800</v>
      </c>
      <c r="G3724" s="379">
        <f t="shared" si="228"/>
        <v>79.211989421099034</v>
      </c>
      <c r="H3724" s="379">
        <v>80</v>
      </c>
      <c r="I3724" s="111"/>
    </row>
    <row r="3725" spans="3:9" ht="16.5" hidden="1" customHeight="1" x14ac:dyDescent="0.25">
      <c r="C3725" s="222"/>
      <c r="D3725" s="294" t="s">
        <v>2804</v>
      </c>
      <c r="E3725" s="123">
        <v>576000000</v>
      </c>
      <c r="F3725" s="243">
        <v>466000000</v>
      </c>
      <c r="G3725" s="379">
        <f t="shared" si="228"/>
        <v>80.902777777777786</v>
      </c>
      <c r="H3725" s="379">
        <v>81</v>
      </c>
      <c r="I3725" s="111"/>
    </row>
    <row r="3726" spans="3:9" ht="18.75" hidden="1" customHeight="1" x14ac:dyDescent="0.25">
      <c r="C3726" s="222"/>
      <c r="D3726" s="294" t="s">
        <v>2805</v>
      </c>
      <c r="E3726" s="123">
        <v>288000000</v>
      </c>
      <c r="F3726" s="243">
        <v>220000000</v>
      </c>
      <c r="G3726" s="379">
        <f t="shared" si="228"/>
        <v>76.388888888888886</v>
      </c>
      <c r="H3726" s="379">
        <v>77</v>
      </c>
      <c r="I3726" s="111"/>
    </row>
    <row r="3727" spans="3:9" ht="16.5" hidden="1" customHeight="1" x14ac:dyDescent="0.25">
      <c r="C3727" s="222"/>
      <c r="D3727" s="294" t="s">
        <v>2806</v>
      </c>
      <c r="E3727" s="123">
        <v>1846789000</v>
      </c>
      <c r="F3727" s="243">
        <v>1846789000</v>
      </c>
      <c r="G3727" s="379">
        <f t="shared" si="228"/>
        <v>100</v>
      </c>
      <c r="H3727" s="379">
        <v>100</v>
      </c>
      <c r="I3727" s="111"/>
    </row>
    <row r="3728" spans="3:9" ht="16.5" hidden="1" customHeight="1" x14ac:dyDescent="0.25">
      <c r="C3728" s="222"/>
      <c r="D3728" s="294" t="s">
        <v>2807</v>
      </c>
      <c r="E3728" s="123">
        <v>361200000</v>
      </c>
      <c r="F3728" s="243">
        <v>0</v>
      </c>
      <c r="G3728" s="379">
        <f t="shared" si="228"/>
        <v>0</v>
      </c>
      <c r="H3728" s="379">
        <v>0</v>
      </c>
      <c r="I3728" s="111"/>
    </row>
    <row r="3729" spans="3:9" ht="16.5" hidden="1" customHeight="1" x14ac:dyDescent="0.25">
      <c r="C3729" s="222"/>
      <c r="D3729" s="294" t="s">
        <v>2808</v>
      </c>
      <c r="E3729" s="123">
        <v>220000000</v>
      </c>
      <c r="F3729" s="242">
        <v>0</v>
      </c>
      <c r="G3729" s="379">
        <f t="shared" si="228"/>
        <v>0</v>
      </c>
      <c r="H3729" s="333">
        <v>0</v>
      </c>
      <c r="I3729" s="111"/>
    </row>
    <row r="3730" spans="3:9" ht="18.75" hidden="1" customHeight="1" x14ac:dyDescent="0.25">
      <c r="C3730" s="222"/>
      <c r="D3730" s="294" t="s">
        <v>2809</v>
      </c>
      <c r="E3730" s="123">
        <v>392608500</v>
      </c>
      <c r="F3730" s="243">
        <v>392370000</v>
      </c>
      <c r="G3730" s="379">
        <f t="shared" si="228"/>
        <v>99.939252461421489</v>
      </c>
      <c r="H3730" s="379">
        <v>100</v>
      </c>
      <c r="I3730" s="111"/>
    </row>
    <row r="3731" spans="3:9" s="115" customFormat="1" ht="16.5" hidden="1" customHeight="1" x14ac:dyDescent="0.25">
      <c r="C3731" s="222"/>
      <c r="D3731" s="295" t="s">
        <v>92</v>
      </c>
      <c r="E3731" s="293">
        <v>2684000000</v>
      </c>
      <c r="F3731" s="531">
        <f>SUM(F3732:F3734)</f>
        <v>2681480000</v>
      </c>
      <c r="G3731" s="333">
        <f t="shared" si="228"/>
        <v>99.906110283159464</v>
      </c>
      <c r="H3731" s="333">
        <v>100</v>
      </c>
      <c r="I3731" s="121"/>
    </row>
    <row r="3732" spans="3:9" ht="16.5" hidden="1" customHeight="1" x14ac:dyDescent="0.25">
      <c r="C3732" s="222"/>
      <c r="D3732" s="294" t="s">
        <v>2810</v>
      </c>
      <c r="E3732" s="123">
        <v>1320000000</v>
      </c>
      <c r="F3732" s="243">
        <v>1320000000</v>
      </c>
      <c r="G3732" s="379">
        <f t="shared" si="228"/>
        <v>100</v>
      </c>
      <c r="H3732" s="379">
        <v>100</v>
      </c>
      <c r="I3732" s="111"/>
    </row>
    <row r="3733" spans="3:9" ht="16.5" hidden="1" customHeight="1" x14ac:dyDescent="0.25">
      <c r="C3733" s="222"/>
      <c r="D3733" s="294" t="s">
        <v>2811</v>
      </c>
      <c r="E3733" s="123">
        <v>364000000</v>
      </c>
      <c r="F3733" s="243">
        <v>364000000</v>
      </c>
      <c r="G3733" s="379">
        <f t="shared" si="228"/>
        <v>100</v>
      </c>
      <c r="H3733" s="379">
        <v>100</v>
      </c>
      <c r="I3733" s="111"/>
    </row>
    <row r="3734" spans="3:9" ht="16.5" hidden="1" customHeight="1" x14ac:dyDescent="0.25">
      <c r="C3734" s="222"/>
      <c r="D3734" s="294" t="s">
        <v>2812</v>
      </c>
      <c r="E3734" s="123">
        <v>1000000000</v>
      </c>
      <c r="F3734" s="243">
        <v>997480000</v>
      </c>
      <c r="G3734" s="379">
        <f t="shared" si="228"/>
        <v>99.748000000000005</v>
      </c>
      <c r="H3734" s="379">
        <v>100</v>
      </c>
      <c r="I3734" s="111"/>
    </row>
    <row r="3735" spans="3:9" s="115" customFormat="1" ht="16.5" hidden="1" customHeight="1" x14ac:dyDescent="0.25">
      <c r="C3735" s="222"/>
      <c r="D3735" s="295" t="s">
        <v>1371</v>
      </c>
      <c r="E3735" s="293">
        <v>2783989000</v>
      </c>
      <c r="F3735" s="531">
        <f>F3736</f>
        <v>2783989000</v>
      </c>
      <c r="G3735" s="333">
        <f t="shared" si="228"/>
        <v>100</v>
      </c>
      <c r="H3735" s="333">
        <v>100</v>
      </c>
      <c r="I3735" s="121"/>
    </row>
    <row r="3736" spans="3:9" ht="39.75" hidden="1" customHeight="1" x14ac:dyDescent="0.25">
      <c r="C3736" s="222"/>
      <c r="D3736" s="294" t="s">
        <v>2813</v>
      </c>
      <c r="E3736" s="123">
        <v>2783989000</v>
      </c>
      <c r="F3736" s="243">
        <v>2783989000</v>
      </c>
      <c r="G3736" s="379">
        <f t="shared" si="228"/>
        <v>100</v>
      </c>
      <c r="H3736" s="379">
        <v>100</v>
      </c>
      <c r="I3736" s="111"/>
    </row>
    <row r="3737" spans="3:9" ht="16.5" hidden="1" customHeight="1" x14ac:dyDescent="0.25">
      <c r="C3737" s="222"/>
      <c r="D3737" s="294"/>
      <c r="E3737" s="123"/>
      <c r="F3737" s="243"/>
      <c r="G3737" s="379"/>
      <c r="H3737" s="379"/>
      <c r="I3737" s="111"/>
    </row>
    <row r="3738" spans="3:9" ht="16.5" hidden="1" customHeight="1" x14ac:dyDescent="0.25">
      <c r="C3738" s="222"/>
      <c r="D3738" s="295" t="s">
        <v>731</v>
      </c>
      <c r="E3738" s="293">
        <v>798999550</v>
      </c>
      <c r="F3738" s="242">
        <f>F3739</f>
        <v>796212050</v>
      </c>
      <c r="G3738" s="333">
        <f>F3738/E3738*100</f>
        <v>99.651126211522893</v>
      </c>
      <c r="H3738" s="333">
        <v>100</v>
      </c>
      <c r="I3738" s="111"/>
    </row>
    <row r="3739" spans="3:9" s="115" customFormat="1" ht="16.5" hidden="1" customHeight="1" x14ac:dyDescent="0.25">
      <c r="C3739" s="222"/>
      <c r="D3739" s="295" t="s">
        <v>275</v>
      </c>
      <c r="E3739" s="293">
        <v>798999550</v>
      </c>
      <c r="F3739" s="242">
        <f>F3740</f>
        <v>796212050</v>
      </c>
      <c r="G3739" s="333">
        <f>F3739/E3739*100</f>
        <v>99.651126211522893</v>
      </c>
      <c r="H3739" s="379">
        <v>100</v>
      </c>
      <c r="I3739" s="121"/>
    </row>
    <row r="3740" spans="3:9" ht="16.5" hidden="1" customHeight="1" x14ac:dyDescent="0.25">
      <c r="C3740" s="222"/>
      <c r="D3740" s="294" t="s">
        <v>1492</v>
      </c>
      <c r="E3740" s="123">
        <v>798999550</v>
      </c>
      <c r="F3740" s="243">
        <v>796212050</v>
      </c>
      <c r="G3740" s="379">
        <f>F3740/E3740*100</f>
        <v>99.651126211522893</v>
      </c>
      <c r="H3740" s="379">
        <v>100</v>
      </c>
      <c r="I3740" s="111"/>
    </row>
    <row r="3741" spans="3:9" ht="16.5" hidden="1" customHeight="1" x14ac:dyDescent="0.25">
      <c r="C3741" s="222"/>
      <c r="D3741" s="295"/>
      <c r="E3741" s="293"/>
      <c r="F3741" s="108"/>
      <c r="G3741" s="114"/>
      <c r="H3741" s="114"/>
      <c r="I3741" s="111"/>
    </row>
    <row r="3742" spans="3:9" ht="16.5" hidden="1" customHeight="1" x14ac:dyDescent="0.25">
      <c r="C3742" s="222"/>
      <c r="D3742" s="295" t="s">
        <v>150</v>
      </c>
      <c r="E3742" s="293">
        <f>E3743+E3745+E3747+E3749+E3751+E3756+E3758+E3760+E3762</f>
        <v>14234993250</v>
      </c>
      <c r="F3742" s="531">
        <f>F3743+F3745+F3747+F3749+F3751+F3756+F3758+F3760+F3762+F3765+F3766</f>
        <v>13911432155</v>
      </c>
      <c r="G3742" s="333">
        <f t="shared" ref="G3742:G3764" si="229">F3742/E3742*100</f>
        <v>97.727002118529285</v>
      </c>
      <c r="H3742" s="333">
        <v>100</v>
      </c>
      <c r="I3742" s="111"/>
    </row>
    <row r="3743" spans="3:9" s="115" customFormat="1" ht="16.5" hidden="1" customHeight="1" x14ac:dyDescent="0.25">
      <c r="C3743" s="222"/>
      <c r="D3743" s="295" t="s">
        <v>156</v>
      </c>
      <c r="E3743" s="293">
        <v>1600000000</v>
      </c>
      <c r="F3743" s="531">
        <f>F3744</f>
        <v>1518885125</v>
      </c>
      <c r="G3743" s="333">
        <f t="shared" si="229"/>
        <v>94.930320312500001</v>
      </c>
      <c r="H3743" s="333">
        <v>100</v>
      </c>
      <c r="I3743" s="121"/>
    </row>
    <row r="3744" spans="3:9" ht="16.5" hidden="1" customHeight="1" x14ac:dyDescent="0.25">
      <c r="C3744" s="222"/>
      <c r="D3744" s="294" t="s">
        <v>2814</v>
      </c>
      <c r="E3744" s="123">
        <v>1600000000</v>
      </c>
      <c r="F3744" s="243">
        <v>1518885125</v>
      </c>
      <c r="G3744" s="379">
        <f t="shared" si="229"/>
        <v>94.930320312500001</v>
      </c>
      <c r="H3744" s="379">
        <v>100</v>
      </c>
      <c r="I3744" s="111"/>
    </row>
    <row r="3745" spans="3:9" s="115" customFormat="1" ht="16.5" hidden="1" customHeight="1" x14ac:dyDescent="0.25">
      <c r="C3745" s="222"/>
      <c r="D3745" s="295" t="s">
        <v>2815</v>
      </c>
      <c r="E3745" s="293">
        <v>1270000000</v>
      </c>
      <c r="F3745" s="531">
        <f>F3746</f>
        <v>1261587900</v>
      </c>
      <c r="G3745" s="333">
        <f t="shared" si="229"/>
        <v>99.337629921259847</v>
      </c>
      <c r="H3745" s="333">
        <v>100</v>
      </c>
      <c r="I3745" s="121"/>
    </row>
    <row r="3746" spans="3:9" ht="16.5" hidden="1" customHeight="1" x14ac:dyDescent="0.25">
      <c r="C3746" s="222"/>
      <c r="D3746" s="294" t="s">
        <v>2816</v>
      </c>
      <c r="E3746" s="123">
        <v>1270000000</v>
      </c>
      <c r="F3746" s="243">
        <v>1261587900</v>
      </c>
      <c r="G3746" s="379">
        <f t="shared" si="229"/>
        <v>99.337629921259847</v>
      </c>
      <c r="H3746" s="379">
        <v>100</v>
      </c>
      <c r="I3746" s="111"/>
    </row>
    <row r="3747" spans="3:9" s="115" customFormat="1" ht="16.5" hidden="1" customHeight="1" x14ac:dyDescent="0.25">
      <c r="C3747" s="222"/>
      <c r="D3747" s="295" t="s">
        <v>705</v>
      </c>
      <c r="E3747" s="293">
        <v>300000000</v>
      </c>
      <c r="F3747" s="242">
        <f>F3748</f>
        <v>299982880</v>
      </c>
      <c r="G3747" s="333">
        <f t="shared" si="229"/>
        <v>99.994293333333331</v>
      </c>
      <c r="H3747" s="333">
        <v>100</v>
      </c>
      <c r="I3747" s="121"/>
    </row>
    <row r="3748" spans="3:9" ht="16.5" hidden="1" customHeight="1" x14ac:dyDescent="0.25">
      <c r="C3748" s="222"/>
      <c r="D3748" s="294" t="s">
        <v>1723</v>
      </c>
      <c r="E3748" s="123">
        <v>300000000</v>
      </c>
      <c r="F3748" s="243">
        <v>299982880</v>
      </c>
      <c r="G3748" s="379">
        <f t="shared" si="229"/>
        <v>99.994293333333331</v>
      </c>
      <c r="H3748" s="379">
        <v>100</v>
      </c>
      <c r="I3748" s="111"/>
    </row>
    <row r="3749" spans="3:9" s="115" customFormat="1" ht="16.5" hidden="1" customHeight="1" x14ac:dyDescent="0.25">
      <c r="C3749" s="222"/>
      <c r="D3749" s="280" t="s">
        <v>177</v>
      </c>
      <c r="E3749" s="293">
        <v>312750000</v>
      </c>
      <c r="F3749" s="242">
        <f>F3750</f>
        <v>236319600</v>
      </c>
      <c r="G3749" s="333">
        <f t="shared" si="229"/>
        <v>75.561822541966421</v>
      </c>
      <c r="H3749" s="333">
        <v>75</v>
      </c>
      <c r="I3749" s="121"/>
    </row>
    <row r="3750" spans="3:9" ht="36" hidden="1" customHeight="1" x14ac:dyDescent="0.25">
      <c r="C3750" s="222"/>
      <c r="D3750" s="294" t="s">
        <v>2817</v>
      </c>
      <c r="E3750" s="123">
        <v>312750000</v>
      </c>
      <c r="F3750" s="243">
        <v>236319600</v>
      </c>
      <c r="G3750" s="379">
        <f t="shared" si="229"/>
        <v>75.561822541966421</v>
      </c>
      <c r="H3750" s="379">
        <v>75</v>
      </c>
      <c r="I3750" s="111"/>
    </row>
    <row r="3751" spans="3:9" s="115" customFormat="1" ht="16.5" hidden="1" customHeight="1" x14ac:dyDescent="0.25">
      <c r="C3751" s="222"/>
      <c r="D3751" s="295" t="s">
        <v>182</v>
      </c>
      <c r="E3751" s="293">
        <v>4095603250</v>
      </c>
      <c r="F3751" s="531">
        <f>SUM(F3752:F3755)</f>
        <v>3827058950</v>
      </c>
      <c r="G3751" s="333">
        <f t="shared" si="229"/>
        <v>93.443107556866011</v>
      </c>
      <c r="H3751" s="333">
        <v>94</v>
      </c>
      <c r="I3751" s="121"/>
    </row>
    <row r="3752" spans="3:9" ht="16.5" hidden="1" customHeight="1" x14ac:dyDescent="0.25">
      <c r="C3752" s="222"/>
      <c r="D3752" s="294" t="s">
        <v>2818</v>
      </c>
      <c r="E3752" s="123">
        <v>112500000</v>
      </c>
      <c r="F3752" s="243">
        <v>112500000</v>
      </c>
      <c r="G3752" s="379">
        <f t="shared" si="229"/>
        <v>100</v>
      </c>
      <c r="H3752" s="379">
        <v>100</v>
      </c>
      <c r="I3752" s="111"/>
    </row>
    <row r="3753" spans="3:9" ht="18.75" hidden="1" customHeight="1" x14ac:dyDescent="0.25">
      <c r="C3753" s="222"/>
      <c r="D3753" s="294" t="s">
        <v>2819</v>
      </c>
      <c r="E3753" s="123">
        <v>962500000</v>
      </c>
      <c r="F3753" s="243">
        <v>962465950</v>
      </c>
      <c r="G3753" s="379">
        <f t="shared" si="229"/>
        <v>99.996462337662336</v>
      </c>
      <c r="H3753" s="379">
        <v>100</v>
      </c>
      <c r="I3753" s="111"/>
    </row>
    <row r="3754" spans="3:9" ht="16.5" hidden="1" customHeight="1" x14ac:dyDescent="0.25">
      <c r="C3754" s="222"/>
      <c r="D3754" s="294" t="s">
        <v>2820</v>
      </c>
      <c r="E3754" s="123">
        <v>100000000</v>
      </c>
      <c r="F3754" s="243">
        <v>100000000</v>
      </c>
      <c r="G3754" s="379">
        <f t="shared" si="229"/>
        <v>100</v>
      </c>
      <c r="H3754" s="379">
        <v>100</v>
      </c>
      <c r="I3754" s="111"/>
    </row>
    <row r="3755" spans="3:9" ht="16.5" hidden="1" customHeight="1" x14ac:dyDescent="0.25">
      <c r="C3755" s="222"/>
      <c r="D3755" s="294" t="s">
        <v>2821</v>
      </c>
      <c r="E3755" s="123">
        <v>2920603250</v>
      </c>
      <c r="F3755" s="243">
        <v>2652093000</v>
      </c>
      <c r="G3755" s="379">
        <f t="shared" si="229"/>
        <v>90.806342833454011</v>
      </c>
      <c r="H3755" s="379">
        <v>91</v>
      </c>
      <c r="I3755" s="111"/>
    </row>
    <row r="3756" spans="3:9" s="115" customFormat="1" ht="16.5" hidden="1" customHeight="1" x14ac:dyDescent="0.25">
      <c r="C3756" s="222"/>
      <c r="D3756" s="295" t="s">
        <v>720</v>
      </c>
      <c r="E3756" s="293">
        <v>200000000</v>
      </c>
      <c r="F3756" s="531">
        <f>F3757</f>
        <v>199429000</v>
      </c>
      <c r="G3756" s="333">
        <f t="shared" si="229"/>
        <v>99.714500000000001</v>
      </c>
      <c r="H3756" s="333">
        <v>100</v>
      </c>
      <c r="I3756" s="121"/>
    </row>
    <row r="3757" spans="3:9" ht="18.75" hidden="1" customHeight="1" x14ac:dyDescent="0.25">
      <c r="C3757" s="222"/>
      <c r="D3757" s="294" t="s">
        <v>2822</v>
      </c>
      <c r="E3757" s="123">
        <v>200000000</v>
      </c>
      <c r="F3757" s="243">
        <v>199429000</v>
      </c>
      <c r="G3757" s="379">
        <f t="shared" si="229"/>
        <v>99.714500000000001</v>
      </c>
      <c r="H3757" s="379">
        <v>100</v>
      </c>
      <c r="I3757" s="111"/>
    </row>
    <row r="3758" spans="3:9" s="115" customFormat="1" ht="16.5" hidden="1" customHeight="1" x14ac:dyDescent="0.25">
      <c r="C3758" s="222"/>
      <c r="D3758" s="295" t="s">
        <v>1578</v>
      </c>
      <c r="E3758" s="293">
        <v>825240000</v>
      </c>
      <c r="F3758" s="531">
        <f>F3759</f>
        <v>756470000</v>
      </c>
      <c r="G3758" s="333">
        <f t="shared" si="229"/>
        <v>91.666666666666657</v>
      </c>
      <c r="H3758" s="333">
        <v>92</v>
      </c>
      <c r="I3758" s="121"/>
    </row>
    <row r="3759" spans="3:9" ht="16.5" hidden="1" customHeight="1" x14ac:dyDescent="0.25">
      <c r="C3759" s="222"/>
      <c r="D3759" s="294" t="s">
        <v>1734</v>
      </c>
      <c r="E3759" s="123">
        <v>825240000</v>
      </c>
      <c r="F3759" s="243">
        <v>756470000</v>
      </c>
      <c r="G3759" s="379">
        <f t="shared" si="229"/>
        <v>91.666666666666657</v>
      </c>
      <c r="H3759" s="379">
        <v>92</v>
      </c>
      <c r="I3759" s="111"/>
    </row>
    <row r="3760" spans="3:9" s="115" customFormat="1" ht="16.5" hidden="1" customHeight="1" x14ac:dyDescent="0.25">
      <c r="C3760" s="222"/>
      <c r="D3760" s="280" t="s">
        <v>2099</v>
      </c>
      <c r="E3760" s="293">
        <v>1500000000</v>
      </c>
      <c r="F3760" s="531">
        <f>F3761</f>
        <v>1486025700</v>
      </c>
      <c r="G3760" s="333">
        <f t="shared" si="229"/>
        <v>99.068380000000005</v>
      </c>
      <c r="H3760" s="333">
        <v>100</v>
      </c>
      <c r="I3760" s="121"/>
    </row>
    <row r="3761" spans="3:9" ht="16.5" hidden="1" customHeight="1" x14ac:dyDescent="0.25">
      <c r="C3761" s="222"/>
      <c r="D3761" s="294" t="s">
        <v>2823</v>
      </c>
      <c r="E3761" s="123">
        <v>1500000000</v>
      </c>
      <c r="F3761" s="243">
        <v>1486025700</v>
      </c>
      <c r="G3761" s="379">
        <f t="shared" si="229"/>
        <v>99.068380000000005</v>
      </c>
      <c r="H3761" s="379">
        <v>100</v>
      </c>
      <c r="I3761" s="111"/>
    </row>
    <row r="3762" spans="3:9" s="115" customFormat="1" ht="16.5" hidden="1" customHeight="1" x14ac:dyDescent="0.25">
      <c r="C3762" s="222"/>
      <c r="D3762" s="280" t="s">
        <v>2824</v>
      </c>
      <c r="E3762" s="293">
        <v>4131400000</v>
      </c>
      <c r="F3762" s="531">
        <f>SUM(F3763:F3764)</f>
        <v>4125673000</v>
      </c>
      <c r="G3762" s="333">
        <f t="shared" si="229"/>
        <v>99.861378709396334</v>
      </c>
      <c r="H3762" s="333">
        <v>100</v>
      </c>
      <c r="I3762" s="121"/>
    </row>
    <row r="3763" spans="3:9" ht="16.5" hidden="1" customHeight="1" x14ac:dyDescent="0.25">
      <c r="C3763" s="222"/>
      <c r="D3763" s="294" t="s">
        <v>2825</v>
      </c>
      <c r="E3763" s="123">
        <v>241000000</v>
      </c>
      <c r="F3763" s="243">
        <v>235273000</v>
      </c>
      <c r="G3763" s="379">
        <f t="shared" si="229"/>
        <v>97.623651452282161</v>
      </c>
      <c r="H3763" s="379">
        <v>98</v>
      </c>
      <c r="I3763" s="111"/>
    </row>
    <row r="3764" spans="3:9" ht="16.5" hidden="1" customHeight="1" x14ac:dyDescent="0.25">
      <c r="C3764" s="222"/>
      <c r="D3764" s="294" t="s">
        <v>2826</v>
      </c>
      <c r="E3764" s="123">
        <v>3890400000</v>
      </c>
      <c r="F3764" s="243">
        <v>3890400000</v>
      </c>
      <c r="G3764" s="379">
        <f t="shared" si="229"/>
        <v>100</v>
      </c>
      <c r="H3764" s="379">
        <v>100</v>
      </c>
      <c r="I3764" s="111"/>
    </row>
    <row r="3765" spans="3:9" ht="16.5" hidden="1" customHeight="1" x14ac:dyDescent="0.25">
      <c r="C3765" s="222"/>
      <c r="D3765" s="294"/>
      <c r="E3765" s="116"/>
      <c r="F3765" s="108"/>
      <c r="G3765" s="114"/>
      <c r="H3765" s="114"/>
      <c r="I3765" s="111"/>
    </row>
    <row r="3766" spans="3:9" ht="16.5" hidden="1" customHeight="1" x14ac:dyDescent="0.25">
      <c r="C3766" s="222"/>
      <c r="D3766" s="295" t="s">
        <v>2827</v>
      </c>
      <c r="E3766" s="293">
        <v>200000000</v>
      </c>
      <c r="F3766" s="242">
        <f>F3767</f>
        <v>200000000</v>
      </c>
      <c r="G3766" s="333">
        <f>F3766/E3766*100</f>
        <v>100</v>
      </c>
      <c r="H3766" s="333">
        <v>100</v>
      </c>
      <c r="I3766" s="111"/>
    </row>
    <row r="3767" spans="3:9" s="115" customFormat="1" ht="16.5" hidden="1" customHeight="1" x14ac:dyDescent="0.25">
      <c r="C3767" s="222"/>
      <c r="D3767" s="295" t="s">
        <v>2828</v>
      </c>
      <c r="E3767" s="293">
        <v>200000000</v>
      </c>
      <c r="F3767" s="243">
        <f>F3768</f>
        <v>200000000</v>
      </c>
      <c r="G3767" s="379">
        <f>F3767/E3767*100</f>
        <v>100</v>
      </c>
      <c r="H3767" s="379">
        <v>100</v>
      </c>
      <c r="I3767" s="121"/>
    </row>
    <row r="3768" spans="3:9" ht="16.5" hidden="1" customHeight="1" x14ac:dyDescent="0.25">
      <c r="C3768" s="222"/>
      <c r="D3768" s="294" t="s">
        <v>2829</v>
      </c>
      <c r="E3768" s="123">
        <v>200000000</v>
      </c>
      <c r="F3768" s="243">
        <v>200000000</v>
      </c>
      <c r="G3768" s="379">
        <f>F3768/E3768*100</f>
        <v>100</v>
      </c>
      <c r="H3768" s="379">
        <v>100</v>
      </c>
      <c r="I3768" s="111"/>
    </row>
    <row r="3769" spans="3:9" ht="16.5" hidden="1" customHeight="1" x14ac:dyDescent="0.25">
      <c r="C3769" s="222"/>
      <c r="D3769" s="295"/>
      <c r="E3769" s="111"/>
      <c r="F3769" s="108"/>
      <c r="G3769" s="114"/>
      <c r="H3769" s="114"/>
      <c r="I3769" s="111"/>
    </row>
    <row r="3770" spans="3:9" ht="16.5" hidden="1" customHeight="1" x14ac:dyDescent="0.25">
      <c r="C3770" s="222"/>
      <c r="D3770" s="295" t="s">
        <v>2830</v>
      </c>
      <c r="E3770" s="293">
        <v>5641776458</v>
      </c>
      <c r="F3770" s="531">
        <f>F3771+F3774+F3776+F3779</f>
        <v>5622200106</v>
      </c>
      <c r="G3770" s="333">
        <f t="shared" ref="G3770:G3780" si="230">F3770/E3770*100</f>
        <v>99.653010853128706</v>
      </c>
      <c r="H3770" s="379">
        <v>100</v>
      </c>
      <c r="I3770" s="111"/>
    </row>
    <row r="3771" spans="3:9" s="115" customFormat="1" ht="26.25" hidden="1" customHeight="1" x14ac:dyDescent="0.25">
      <c r="C3771" s="222"/>
      <c r="D3771" s="295" t="s">
        <v>2831</v>
      </c>
      <c r="E3771" s="199">
        <v>2000000000</v>
      </c>
      <c r="F3771" s="422">
        <f>F3772+F3773</f>
        <v>1995412000</v>
      </c>
      <c r="G3771" s="333">
        <f t="shared" si="230"/>
        <v>99.770600000000002</v>
      </c>
      <c r="H3771" s="333">
        <v>100</v>
      </c>
      <c r="I3771" s="121"/>
    </row>
    <row r="3772" spans="3:9" ht="16.5" hidden="1" customHeight="1" x14ac:dyDescent="0.25">
      <c r="C3772" s="222"/>
      <c r="D3772" s="294" t="s">
        <v>2832</v>
      </c>
      <c r="E3772" s="123">
        <v>1200000000</v>
      </c>
      <c r="F3772" s="243">
        <v>1196512000</v>
      </c>
      <c r="G3772" s="379">
        <f t="shared" si="230"/>
        <v>99.709333333333333</v>
      </c>
      <c r="H3772" s="379">
        <v>100</v>
      </c>
      <c r="I3772" s="111"/>
    </row>
    <row r="3773" spans="3:9" ht="16.5" hidden="1" customHeight="1" x14ac:dyDescent="0.25">
      <c r="C3773" s="222"/>
      <c r="D3773" s="294" t="s">
        <v>2833</v>
      </c>
      <c r="E3773" s="123">
        <v>800000000</v>
      </c>
      <c r="F3773" s="243">
        <v>798900000</v>
      </c>
      <c r="G3773" s="379">
        <f t="shared" si="230"/>
        <v>99.862499999999997</v>
      </c>
      <c r="H3773" s="379">
        <v>100</v>
      </c>
      <c r="I3773" s="111"/>
    </row>
    <row r="3774" spans="3:9" s="115" customFormat="1" ht="16.5" hidden="1" customHeight="1" x14ac:dyDescent="0.25">
      <c r="C3774" s="222"/>
      <c r="D3774" s="295" t="s">
        <v>1320</v>
      </c>
      <c r="E3774" s="293">
        <v>1141776458</v>
      </c>
      <c r="F3774" s="242">
        <f>F3775</f>
        <v>1141553806</v>
      </c>
      <c r="G3774" s="333">
        <f t="shared" si="230"/>
        <v>99.980499510351621</v>
      </c>
      <c r="H3774" s="333">
        <v>100</v>
      </c>
      <c r="I3774" s="121"/>
    </row>
    <row r="3775" spans="3:9" ht="16.5" hidden="1" customHeight="1" x14ac:dyDescent="0.25">
      <c r="C3775" s="222"/>
      <c r="D3775" s="294" t="s">
        <v>2834</v>
      </c>
      <c r="E3775" s="123">
        <v>1141776458</v>
      </c>
      <c r="F3775" s="243">
        <v>1141553806</v>
      </c>
      <c r="G3775" s="379">
        <f t="shared" si="230"/>
        <v>99.980499510351621</v>
      </c>
      <c r="H3775" s="379">
        <v>100</v>
      </c>
      <c r="I3775" s="111"/>
    </row>
    <row r="3776" spans="3:9" s="115" customFormat="1" ht="16.5" hidden="1" customHeight="1" x14ac:dyDescent="0.25">
      <c r="C3776" s="222"/>
      <c r="D3776" s="295" t="s">
        <v>2835</v>
      </c>
      <c r="E3776" s="293">
        <v>2000000000</v>
      </c>
      <c r="F3776" s="531">
        <f>F3777+F3778</f>
        <v>1986744300</v>
      </c>
      <c r="G3776" s="333">
        <f t="shared" si="230"/>
        <v>99.337215</v>
      </c>
      <c r="H3776" s="333">
        <v>100</v>
      </c>
      <c r="I3776" s="121"/>
    </row>
    <row r="3777" spans="3:9" ht="16.5" hidden="1" customHeight="1" x14ac:dyDescent="0.25">
      <c r="C3777" s="222"/>
      <c r="D3777" s="294" t="s">
        <v>2836</v>
      </c>
      <c r="E3777" s="123">
        <v>1500000000</v>
      </c>
      <c r="F3777" s="243">
        <v>1487008000</v>
      </c>
      <c r="G3777" s="379">
        <f t="shared" si="230"/>
        <v>99.133866666666677</v>
      </c>
      <c r="H3777" s="379">
        <v>100</v>
      </c>
      <c r="I3777" s="111"/>
    </row>
    <row r="3778" spans="3:9" ht="16.5" hidden="1" customHeight="1" x14ac:dyDescent="0.25">
      <c r="C3778" s="222"/>
      <c r="D3778" s="294" t="s">
        <v>1754</v>
      </c>
      <c r="E3778" s="123">
        <v>500000000</v>
      </c>
      <c r="F3778" s="243">
        <v>499736300</v>
      </c>
      <c r="G3778" s="379">
        <f t="shared" si="230"/>
        <v>99.94726</v>
      </c>
      <c r="H3778" s="379">
        <v>100</v>
      </c>
      <c r="I3778" s="111"/>
    </row>
    <row r="3779" spans="3:9" s="115" customFormat="1" ht="16.5" hidden="1" customHeight="1" x14ac:dyDescent="0.25">
      <c r="C3779" s="222"/>
      <c r="D3779" s="295" t="s">
        <v>2837</v>
      </c>
      <c r="E3779" s="293">
        <v>500000000</v>
      </c>
      <c r="F3779" s="531">
        <f>F3780</f>
        <v>498490000</v>
      </c>
      <c r="G3779" s="333">
        <f t="shared" si="230"/>
        <v>99.697999999999993</v>
      </c>
      <c r="H3779" s="333">
        <v>100</v>
      </c>
      <c r="I3779" s="121"/>
    </row>
    <row r="3780" spans="3:9" ht="26.25" hidden="1" customHeight="1" x14ac:dyDescent="0.25">
      <c r="C3780" s="222"/>
      <c r="D3780" s="294" t="s">
        <v>2838</v>
      </c>
      <c r="E3780" s="123">
        <v>500000000</v>
      </c>
      <c r="F3780" s="243">
        <v>498490000</v>
      </c>
      <c r="G3780" s="379">
        <f t="shared" si="230"/>
        <v>99.697999999999993</v>
      </c>
      <c r="H3780" s="379">
        <v>100</v>
      </c>
      <c r="I3780" s="111"/>
    </row>
    <row r="3781" spans="3:9" ht="16.5" hidden="1" customHeight="1" x14ac:dyDescent="0.25">
      <c r="C3781" s="222"/>
      <c r="D3781" s="294"/>
      <c r="E3781" s="111"/>
      <c r="F3781" s="108"/>
      <c r="G3781" s="114"/>
      <c r="H3781" s="114"/>
      <c r="I3781" s="111"/>
    </row>
    <row r="3782" spans="3:9" ht="16.5" hidden="1" customHeight="1" x14ac:dyDescent="0.25">
      <c r="C3782" s="222"/>
      <c r="D3782" s="295" t="s">
        <v>2839</v>
      </c>
      <c r="E3782" s="293">
        <v>15942491000</v>
      </c>
      <c r="F3782" s="108">
        <f>+F3783</f>
        <v>9285380500</v>
      </c>
      <c r="G3782" s="114">
        <f t="shared" ref="G3782:G3787" si="231">F3782/E3782*100</f>
        <v>58.242971565735871</v>
      </c>
      <c r="H3782" s="114"/>
      <c r="I3782" s="111"/>
    </row>
    <row r="3783" spans="3:9" ht="16.5" hidden="1" customHeight="1" x14ac:dyDescent="0.25">
      <c r="C3783" s="222"/>
      <c r="D3783" s="295" t="s">
        <v>2028</v>
      </c>
      <c r="E3783" s="293">
        <f>E3784+E3786</f>
        <v>12627491000</v>
      </c>
      <c r="F3783" s="108">
        <f>+F3784+F3786</f>
        <v>9285380500</v>
      </c>
      <c r="G3783" s="114">
        <f t="shared" si="231"/>
        <v>73.533059734510999</v>
      </c>
      <c r="H3783" s="114">
        <f>(H3784+H3786)/2</f>
        <v>71.5</v>
      </c>
      <c r="I3783" s="111"/>
    </row>
    <row r="3784" spans="3:9" s="115" customFormat="1" ht="16.5" hidden="1" customHeight="1" x14ac:dyDescent="0.25">
      <c r="C3784" s="222"/>
      <c r="D3784" s="295" t="s">
        <v>729</v>
      </c>
      <c r="E3784" s="293">
        <v>9400000000</v>
      </c>
      <c r="F3784" s="242">
        <f>F3785</f>
        <v>7183708000</v>
      </c>
      <c r="G3784" s="333">
        <f t="shared" si="231"/>
        <v>76.422425531914897</v>
      </c>
      <c r="H3784" s="379">
        <v>77</v>
      </c>
      <c r="I3784" s="121"/>
    </row>
    <row r="3785" spans="3:9" ht="18.75" hidden="1" customHeight="1" x14ac:dyDescent="0.25">
      <c r="C3785" s="222"/>
      <c r="D3785" s="294" t="s">
        <v>730</v>
      </c>
      <c r="E3785" s="123">
        <v>9400000000</v>
      </c>
      <c r="F3785" s="243">
        <v>7183708000</v>
      </c>
      <c r="G3785" s="379">
        <f t="shared" si="231"/>
        <v>76.422425531914897</v>
      </c>
      <c r="H3785" s="333">
        <v>77</v>
      </c>
      <c r="I3785" s="111"/>
    </row>
    <row r="3786" spans="3:9" s="115" customFormat="1" ht="16.5" hidden="1" customHeight="1" x14ac:dyDescent="0.25">
      <c r="C3786" s="222"/>
      <c r="D3786" s="295" t="s">
        <v>2840</v>
      </c>
      <c r="E3786" s="293">
        <v>3227491000</v>
      </c>
      <c r="F3786" s="531">
        <f>F3787</f>
        <v>2101672500</v>
      </c>
      <c r="G3786" s="333">
        <f t="shared" si="231"/>
        <v>65.117842311566477</v>
      </c>
      <c r="H3786" s="333">
        <v>66</v>
      </c>
      <c r="I3786" s="121"/>
    </row>
    <row r="3787" spans="3:9" ht="16.5" hidden="1" customHeight="1" x14ac:dyDescent="0.25">
      <c r="C3787" s="222"/>
      <c r="D3787" s="294" t="s">
        <v>2841</v>
      </c>
      <c r="E3787" s="123">
        <v>3227491000</v>
      </c>
      <c r="F3787" s="243">
        <v>2101672500</v>
      </c>
      <c r="G3787" s="379">
        <f t="shared" si="231"/>
        <v>65.117842311566477</v>
      </c>
      <c r="H3787" s="379">
        <v>66</v>
      </c>
      <c r="I3787" s="111"/>
    </row>
    <row r="3788" spans="3:9" ht="16.5" hidden="1" customHeight="1" x14ac:dyDescent="0.25">
      <c r="C3788" s="222"/>
      <c r="D3788" s="294"/>
      <c r="E3788" s="123"/>
      <c r="F3788" s="108"/>
      <c r="G3788" s="114"/>
      <c r="H3788" s="114"/>
      <c r="I3788" s="111"/>
    </row>
    <row r="3789" spans="3:9" ht="16.5" hidden="1" customHeight="1" x14ac:dyDescent="0.25">
      <c r="C3789" s="222"/>
      <c r="D3789" s="295" t="s">
        <v>864</v>
      </c>
      <c r="E3789" s="293">
        <v>3315000000</v>
      </c>
      <c r="F3789" s="242">
        <f>F3790</f>
        <v>3269584000</v>
      </c>
      <c r="G3789" s="333">
        <f>F3789/E3789*100</f>
        <v>98.629984917043743</v>
      </c>
      <c r="H3789" s="333">
        <v>100</v>
      </c>
      <c r="I3789" s="111"/>
    </row>
    <row r="3790" spans="3:9" s="115" customFormat="1" ht="30.75" hidden="1" customHeight="1" x14ac:dyDescent="0.25">
      <c r="C3790" s="222"/>
      <c r="D3790" s="280" t="s">
        <v>259</v>
      </c>
      <c r="E3790" s="293">
        <v>3315000000</v>
      </c>
      <c r="F3790" s="242">
        <f>F3791</f>
        <v>3269584000</v>
      </c>
      <c r="G3790" s="333">
        <f>F3790/E3790*100</f>
        <v>98.629984917043743</v>
      </c>
      <c r="H3790" s="333">
        <v>100</v>
      </c>
      <c r="I3790" s="121"/>
    </row>
    <row r="3791" spans="3:9" ht="16.5" hidden="1" customHeight="1" x14ac:dyDescent="0.25">
      <c r="C3791" s="222"/>
      <c r="D3791" s="294" t="s">
        <v>2842</v>
      </c>
      <c r="E3791" s="123">
        <v>3315000000</v>
      </c>
      <c r="F3791" s="243">
        <v>3269584000</v>
      </c>
      <c r="G3791" s="379">
        <f>F3791/E3791*100</f>
        <v>98.629984917043743</v>
      </c>
      <c r="H3791" s="379">
        <v>100</v>
      </c>
      <c r="I3791" s="111"/>
    </row>
    <row r="3792" spans="3:9" ht="16.5" hidden="1" customHeight="1" x14ac:dyDescent="0.25">
      <c r="C3792" s="222"/>
      <c r="D3792" s="294"/>
      <c r="E3792" s="111"/>
      <c r="F3792" s="108"/>
      <c r="G3792" s="114"/>
      <c r="H3792" s="114"/>
      <c r="I3792" s="111"/>
    </row>
    <row r="3793" spans="3:9" ht="16.5" hidden="1" customHeight="1" x14ac:dyDescent="0.25">
      <c r="C3793" s="222"/>
      <c r="D3793" s="295" t="s">
        <v>2843</v>
      </c>
      <c r="E3793" s="293">
        <v>7428497300</v>
      </c>
      <c r="F3793" s="108"/>
      <c r="G3793" s="114">
        <f>F3793/E3793*100</f>
        <v>0</v>
      </c>
      <c r="H3793" s="114"/>
      <c r="I3793" s="111"/>
    </row>
    <row r="3794" spans="3:9" ht="16.5" hidden="1" customHeight="1" x14ac:dyDescent="0.25">
      <c r="C3794" s="222"/>
      <c r="D3794" s="295" t="s">
        <v>1250</v>
      </c>
      <c r="E3794" s="293">
        <v>993997300</v>
      </c>
      <c r="F3794" s="531">
        <f>F3795</f>
        <v>991698800</v>
      </c>
      <c r="G3794" s="532">
        <f>F3794/E3794*100</f>
        <v>99.768761947341318</v>
      </c>
      <c r="H3794" s="333">
        <v>100</v>
      </c>
      <c r="I3794" s="111"/>
    </row>
    <row r="3795" spans="3:9" s="115" customFormat="1" ht="16.5" hidden="1" customHeight="1" x14ac:dyDescent="0.25">
      <c r="C3795" s="222"/>
      <c r="D3795" s="295" t="s">
        <v>2844</v>
      </c>
      <c r="E3795" s="293">
        <v>993997300</v>
      </c>
      <c r="F3795" s="531">
        <f>F3796+F3797</f>
        <v>991698800</v>
      </c>
      <c r="G3795" s="532">
        <f>F3795/E3795*100</f>
        <v>99.768761947341318</v>
      </c>
      <c r="H3795" s="333">
        <v>100</v>
      </c>
      <c r="I3795" s="121"/>
    </row>
    <row r="3796" spans="3:9" ht="16.5" hidden="1" customHeight="1" x14ac:dyDescent="0.25">
      <c r="C3796" s="222"/>
      <c r="D3796" s="294" t="s">
        <v>2845</v>
      </c>
      <c r="E3796" s="123">
        <v>493997000</v>
      </c>
      <c r="F3796" s="533">
        <v>493314000</v>
      </c>
      <c r="G3796" s="534">
        <f>F3796/E3796*100</f>
        <v>99.861740051052934</v>
      </c>
      <c r="H3796" s="379">
        <v>100</v>
      </c>
      <c r="I3796" s="111"/>
    </row>
    <row r="3797" spans="3:9" ht="18.75" hidden="1" customHeight="1" x14ac:dyDescent="0.25">
      <c r="C3797" s="222"/>
      <c r="D3797" s="294" t="s">
        <v>2846</v>
      </c>
      <c r="E3797" s="123">
        <v>500000300</v>
      </c>
      <c r="F3797" s="243">
        <v>498384800</v>
      </c>
      <c r="G3797" s="534">
        <f>F3797/E3797*100</f>
        <v>99.676900193859879</v>
      </c>
      <c r="H3797" s="379">
        <v>100</v>
      </c>
      <c r="I3797" s="111"/>
    </row>
    <row r="3798" spans="3:9" ht="16.5" hidden="1" customHeight="1" x14ac:dyDescent="0.25">
      <c r="C3798" s="222"/>
      <c r="D3798" s="294"/>
      <c r="E3798" s="111"/>
      <c r="F3798" s="108"/>
      <c r="G3798" s="114"/>
      <c r="H3798" s="114"/>
      <c r="I3798" s="111"/>
    </row>
    <row r="3799" spans="3:9" ht="16.5" hidden="1" customHeight="1" x14ac:dyDescent="0.25">
      <c r="C3799" s="222"/>
      <c r="D3799" s="295" t="s">
        <v>329</v>
      </c>
      <c r="E3799" s="293">
        <v>1337500000</v>
      </c>
      <c r="F3799" s="242">
        <f>F3800</f>
        <v>1335684115</v>
      </c>
      <c r="G3799" s="333">
        <f>F3799/E3799*100</f>
        <v>99.86423289719626</v>
      </c>
      <c r="H3799" s="333">
        <v>100</v>
      </c>
      <c r="I3799" s="111"/>
    </row>
    <row r="3800" spans="3:9" s="115" customFormat="1" ht="16.5" hidden="1" customHeight="1" x14ac:dyDescent="0.25">
      <c r="C3800" s="222"/>
      <c r="D3800" s="295" t="s">
        <v>2847</v>
      </c>
      <c r="E3800" s="293">
        <v>1337500000</v>
      </c>
      <c r="F3800" s="533">
        <f>F3801</f>
        <v>1335684115</v>
      </c>
      <c r="G3800" s="379">
        <f>F3800/E3800*100</f>
        <v>99.86423289719626</v>
      </c>
      <c r="H3800" s="379">
        <v>100</v>
      </c>
      <c r="I3800" s="121"/>
    </row>
    <row r="3801" spans="3:9" ht="31.5" hidden="1" customHeight="1" x14ac:dyDescent="0.25">
      <c r="C3801" s="222"/>
      <c r="D3801" s="294" t="s">
        <v>2848</v>
      </c>
      <c r="E3801" s="123">
        <v>1337500000</v>
      </c>
      <c r="F3801" s="243">
        <v>1335684115</v>
      </c>
      <c r="G3801" s="379">
        <f>F3801/E3801*100</f>
        <v>99.86423289719626</v>
      </c>
      <c r="H3801" s="379">
        <v>100</v>
      </c>
      <c r="I3801" s="111"/>
    </row>
    <row r="3802" spans="3:9" ht="16.5" hidden="1" customHeight="1" x14ac:dyDescent="0.25">
      <c r="C3802" s="222"/>
      <c r="D3802" s="294"/>
      <c r="E3802" s="111"/>
      <c r="F3802" s="108"/>
      <c r="G3802" s="114"/>
      <c r="H3802" s="114"/>
      <c r="I3802" s="111"/>
    </row>
    <row r="3803" spans="3:9" ht="16.5" hidden="1" customHeight="1" x14ac:dyDescent="0.25">
      <c r="C3803" s="222"/>
      <c r="D3803" s="295" t="s">
        <v>316</v>
      </c>
      <c r="E3803" s="293">
        <v>3397000000</v>
      </c>
      <c r="F3803" s="531">
        <f>F3804</f>
        <v>3117651000</v>
      </c>
      <c r="G3803" s="333">
        <f>F3803/E3803*100</f>
        <v>91.776596997350595</v>
      </c>
      <c r="H3803" s="333">
        <v>92</v>
      </c>
      <c r="I3803" s="111"/>
    </row>
    <row r="3804" spans="3:9" s="115" customFormat="1" ht="16.5" hidden="1" customHeight="1" x14ac:dyDescent="0.25">
      <c r="C3804" s="222"/>
      <c r="D3804" s="295" t="s">
        <v>1759</v>
      </c>
      <c r="E3804" s="293">
        <v>3397000000</v>
      </c>
      <c r="F3804" s="531">
        <f>F3805+F3806</f>
        <v>3117651000</v>
      </c>
      <c r="G3804" s="333">
        <f>F3804/E3804*100</f>
        <v>91.776596997350595</v>
      </c>
      <c r="H3804" s="333">
        <v>92</v>
      </c>
      <c r="I3804" s="121"/>
    </row>
    <row r="3805" spans="3:9" ht="16.5" hidden="1" customHeight="1" x14ac:dyDescent="0.25">
      <c r="C3805" s="222"/>
      <c r="D3805" s="294" t="s">
        <v>2849</v>
      </c>
      <c r="E3805" s="123">
        <v>3269000000</v>
      </c>
      <c r="F3805" s="243">
        <v>2989651000</v>
      </c>
      <c r="G3805" s="379">
        <f>F3805/E3805*100</f>
        <v>91.454603854389731</v>
      </c>
      <c r="H3805" s="379">
        <v>92</v>
      </c>
      <c r="I3805" s="111"/>
    </row>
    <row r="3806" spans="3:9" ht="16.5" hidden="1" customHeight="1" x14ac:dyDescent="0.25">
      <c r="C3806" s="222"/>
      <c r="D3806" s="294" t="s">
        <v>2850</v>
      </c>
      <c r="E3806" s="123">
        <v>128000000</v>
      </c>
      <c r="F3806" s="533">
        <v>128000000</v>
      </c>
      <c r="G3806" s="379">
        <f>F3806/E3806*100</f>
        <v>100</v>
      </c>
      <c r="H3806" s="379">
        <v>100</v>
      </c>
      <c r="I3806" s="111"/>
    </row>
    <row r="3807" spans="3:9" ht="16.5" hidden="1" customHeight="1" x14ac:dyDescent="0.25">
      <c r="C3807" s="222"/>
      <c r="D3807" s="294"/>
      <c r="E3807" s="111"/>
      <c r="F3807" s="108"/>
      <c r="G3807" s="114"/>
      <c r="H3807" s="114"/>
      <c r="I3807" s="111"/>
    </row>
    <row r="3808" spans="3:9" ht="16.5" hidden="1" customHeight="1" x14ac:dyDescent="0.25">
      <c r="C3808" s="222"/>
      <c r="D3808" s="295" t="s">
        <v>869</v>
      </c>
      <c r="E3808" s="293">
        <v>1700000000</v>
      </c>
      <c r="F3808" s="531">
        <f>F3809</f>
        <v>1566699400</v>
      </c>
      <c r="G3808" s="333">
        <f>F3808/E3808*100</f>
        <v>92.158788235294125</v>
      </c>
      <c r="H3808" s="333">
        <v>100</v>
      </c>
      <c r="I3808" s="111"/>
    </row>
    <row r="3809" spans="3:9" s="115" customFormat="1" ht="16.5" hidden="1" customHeight="1" x14ac:dyDescent="0.25">
      <c r="C3809" s="222"/>
      <c r="D3809" s="295" t="s">
        <v>2851</v>
      </c>
      <c r="E3809" s="293">
        <v>1700000000</v>
      </c>
      <c r="F3809" s="533">
        <f>F3810</f>
        <v>1566699400</v>
      </c>
      <c r="G3809" s="379">
        <f>F3809/E3809*100</f>
        <v>92.158788235294125</v>
      </c>
      <c r="H3809" s="379">
        <v>100</v>
      </c>
      <c r="I3809" s="121"/>
    </row>
    <row r="3810" spans="3:9" ht="16.5" hidden="1" customHeight="1" x14ac:dyDescent="0.25">
      <c r="C3810" s="222"/>
      <c r="D3810" s="294" t="s">
        <v>2852</v>
      </c>
      <c r="E3810" s="123">
        <v>1700000000</v>
      </c>
      <c r="F3810" s="243">
        <v>1566699400</v>
      </c>
      <c r="G3810" s="379">
        <f>F3810/E3810*100</f>
        <v>92.158788235294125</v>
      </c>
      <c r="H3810" s="379">
        <v>100</v>
      </c>
      <c r="I3810" s="111"/>
    </row>
    <row r="3811" spans="3:9" ht="16.5" hidden="1" customHeight="1" x14ac:dyDescent="0.25">
      <c r="C3811" s="222"/>
      <c r="D3811" s="294"/>
      <c r="E3811" s="111"/>
      <c r="F3811" s="108"/>
      <c r="G3811" s="114"/>
      <c r="H3811" s="114"/>
      <c r="I3811" s="111"/>
    </row>
    <row r="3812" spans="3:9" ht="16.5" hidden="1" customHeight="1" x14ac:dyDescent="0.25">
      <c r="C3812" s="222"/>
      <c r="D3812" s="295" t="s">
        <v>429</v>
      </c>
      <c r="E3812" s="293">
        <v>800000000</v>
      </c>
      <c r="F3812" s="531">
        <f>F3813</f>
        <v>800000000</v>
      </c>
      <c r="G3812" s="333">
        <f>F3812/E3812*100</f>
        <v>100</v>
      </c>
      <c r="H3812" s="333">
        <v>100</v>
      </c>
      <c r="I3812" s="111"/>
    </row>
    <row r="3813" spans="3:9" s="115" customFormat="1" ht="16.5" hidden="1" customHeight="1" x14ac:dyDescent="0.25">
      <c r="C3813" s="222"/>
      <c r="D3813" s="295" t="s">
        <v>2853</v>
      </c>
      <c r="E3813" s="293">
        <v>800000000</v>
      </c>
      <c r="F3813" s="531">
        <f>F3814</f>
        <v>800000000</v>
      </c>
      <c r="G3813" s="333">
        <f>F3813/E3813*100</f>
        <v>100</v>
      </c>
      <c r="H3813" s="333">
        <v>100</v>
      </c>
      <c r="I3813" s="121"/>
    </row>
    <row r="3814" spans="3:9" ht="16.5" hidden="1" customHeight="1" x14ac:dyDescent="0.25">
      <c r="C3814" s="222"/>
      <c r="D3814" s="294" t="s">
        <v>2854</v>
      </c>
      <c r="E3814" s="123">
        <v>800000000</v>
      </c>
      <c r="F3814" s="533">
        <v>800000000</v>
      </c>
      <c r="G3814" s="379">
        <f>F3814/E3814*100</f>
        <v>100</v>
      </c>
      <c r="H3814" s="379">
        <v>100</v>
      </c>
      <c r="I3814" s="111"/>
    </row>
    <row r="3815" spans="3:9" ht="16.5" hidden="1" customHeight="1" x14ac:dyDescent="0.25">
      <c r="C3815" s="222"/>
      <c r="D3815" s="294"/>
      <c r="E3815" s="111"/>
      <c r="F3815" s="108"/>
      <c r="G3815" s="114"/>
      <c r="H3815" s="114"/>
      <c r="I3815" s="111"/>
    </row>
    <row r="3816" spans="3:9" ht="16.5" hidden="1" customHeight="1" x14ac:dyDescent="0.25">
      <c r="C3816" s="222"/>
      <c r="D3816" s="295" t="s">
        <v>2855</v>
      </c>
      <c r="E3816" s="293">
        <v>14686212292</v>
      </c>
      <c r="F3816" s="242">
        <f>F3817+F3822+F3824</f>
        <v>11790152110</v>
      </c>
      <c r="G3816" s="333">
        <f t="shared" ref="G3816:G3825" si="232">F3816/E3816*100</f>
        <v>80.280414551970168</v>
      </c>
      <c r="H3816" s="333">
        <v>81</v>
      </c>
      <c r="I3816" s="111"/>
    </row>
    <row r="3817" spans="3:9" s="115" customFormat="1" ht="16.5" hidden="1" customHeight="1" x14ac:dyDescent="0.25">
      <c r="C3817" s="222"/>
      <c r="D3817" s="295" t="s">
        <v>496</v>
      </c>
      <c r="E3817" s="293">
        <v>8462812292</v>
      </c>
      <c r="F3817" s="531">
        <f>F3818+F3819+F3820+F3821</f>
        <v>7015621000</v>
      </c>
      <c r="G3817" s="333">
        <f t="shared" si="232"/>
        <v>82.899404570652621</v>
      </c>
      <c r="H3817" s="333">
        <v>83</v>
      </c>
      <c r="I3817" s="121"/>
    </row>
    <row r="3818" spans="3:9" ht="16.5" hidden="1" customHeight="1" x14ac:dyDescent="0.25">
      <c r="C3818" s="222"/>
      <c r="D3818" s="294" t="s">
        <v>2856</v>
      </c>
      <c r="E3818" s="123">
        <v>1119680000</v>
      </c>
      <c r="F3818" s="243">
        <v>393879000</v>
      </c>
      <c r="G3818" s="379">
        <f t="shared" si="232"/>
        <v>35.177818662474991</v>
      </c>
      <c r="H3818" s="379">
        <v>36</v>
      </c>
      <c r="I3818" s="111"/>
    </row>
    <row r="3819" spans="3:9" ht="16.5" hidden="1" customHeight="1" x14ac:dyDescent="0.25">
      <c r="C3819" s="222"/>
      <c r="D3819" s="294" t="s">
        <v>498</v>
      </c>
      <c r="E3819" s="123">
        <v>3835882292</v>
      </c>
      <c r="F3819" s="243">
        <v>3336544000</v>
      </c>
      <c r="G3819" s="379">
        <f t="shared" si="232"/>
        <v>86.982439658239656</v>
      </c>
      <c r="H3819" s="379">
        <v>87</v>
      </c>
      <c r="I3819" s="111"/>
    </row>
    <row r="3820" spans="3:9" ht="16.5" hidden="1" customHeight="1" x14ac:dyDescent="0.25">
      <c r="C3820" s="222"/>
      <c r="D3820" s="294" t="s">
        <v>501</v>
      </c>
      <c r="E3820" s="123">
        <v>2020000000</v>
      </c>
      <c r="F3820" s="243">
        <v>1937022000</v>
      </c>
      <c r="G3820" s="379">
        <f t="shared" si="232"/>
        <v>95.89217821782178</v>
      </c>
      <c r="H3820" s="379">
        <v>96</v>
      </c>
      <c r="I3820" s="111"/>
    </row>
    <row r="3821" spans="3:9" ht="16.5" hidden="1" customHeight="1" x14ac:dyDescent="0.25">
      <c r="C3821" s="222"/>
      <c r="D3821" s="294" t="s">
        <v>2857</v>
      </c>
      <c r="E3821" s="123">
        <v>1487250000</v>
      </c>
      <c r="F3821" s="243">
        <v>1348176000</v>
      </c>
      <c r="G3821" s="379">
        <f t="shared" si="232"/>
        <v>90.648915784165411</v>
      </c>
      <c r="H3821" s="379">
        <v>91</v>
      </c>
      <c r="I3821" s="111"/>
    </row>
    <row r="3822" spans="3:9" s="115" customFormat="1" ht="16.5" hidden="1" customHeight="1" x14ac:dyDescent="0.25">
      <c r="C3822" s="222"/>
      <c r="D3822" s="295" t="s">
        <v>418</v>
      </c>
      <c r="E3822" s="293">
        <v>1673400000</v>
      </c>
      <c r="F3822" s="531">
        <f>F3823</f>
        <v>1659056000</v>
      </c>
      <c r="G3822" s="333">
        <f t="shared" si="232"/>
        <v>99.142822995099806</v>
      </c>
      <c r="H3822" s="333">
        <v>100</v>
      </c>
      <c r="I3822" s="121"/>
    </row>
    <row r="3823" spans="3:9" ht="16.5" hidden="1" customHeight="1" x14ac:dyDescent="0.25">
      <c r="C3823" s="222"/>
      <c r="D3823" s="294" t="s">
        <v>419</v>
      </c>
      <c r="E3823" s="123">
        <v>1673400000</v>
      </c>
      <c r="F3823" s="243">
        <v>1659056000</v>
      </c>
      <c r="G3823" s="379">
        <f t="shared" si="232"/>
        <v>99.142822995099806</v>
      </c>
      <c r="H3823" s="379">
        <v>100</v>
      </c>
      <c r="I3823" s="111"/>
    </row>
    <row r="3824" spans="3:9" s="115" customFormat="1" ht="16.5" hidden="1" customHeight="1" x14ac:dyDescent="0.25">
      <c r="C3824" s="222"/>
      <c r="D3824" s="295" t="s">
        <v>517</v>
      </c>
      <c r="E3824" s="293">
        <v>4550000000</v>
      </c>
      <c r="F3824" s="242">
        <f>F3825</f>
        <v>3115475110</v>
      </c>
      <c r="G3824" s="333">
        <f t="shared" si="232"/>
        <v>68.47198043956044</v>
      </c>
      <c r="H3824" s="333">
        <v>70</v>
      </c>
      <c r="I3824" s="121"/>
    </row>
    <row r="3825" spans="3:9" ht="16.5" hidden="1" customHeight="1" x14ac:dyDescent="0.25">
      <c r="C3825" s="222"/>
      <c r="D3825" s="294" t="s">
        <v>2596</v>
      </c>
      <c r="E3825" s="123">
        <v>4550000000</v>
      </c>
      <c r="F3825" s="243">
        <v>3115475110</v>
      </c>
      <c r="G3825" s="379">
        <f t="shared" si="232"/>
        <v>68.47198043956044</v>
      </c>
      <c r="H3825" s="379">
        <v>70</v>
      </c>
      <c r="I3825" s="111"/>
    </row>
    <row r="3826" spans="3:9" ht="16.5" hidden="1" customHeight="1" x14ac:dyDescent="0.25">
      <c r="C3826" s="222"/>
      <c r="D3826" s="294"/>
      <c r="E3826" s="111"/>
      <c r="F3826" s="108"/>
      <c r="G3826" s="114"/>
      <c r="H3826" s="114"/>
      <c r="I3826" s="111"/>
    </row>
    <row r="3827" spans="3:9" ht="16.5" hidden="1" customHeight="1" x14ac:dyDescent="0.25">
      <c r="C3827" s="222"/>
      <c r="D3827" s="295" t="s">
        <v>1343</v>
      </c>
      <c r="E3827" s="293">
        <v>6397999100</v>
      </c>
      <c r="F3827" s="108"/>
      <c r="G3827" s="114"/>
      <c r="H3827" s="114"/>
      <c r="I3827" s="111"/>
    </row>
    <row r="3828" spans="3:9" ht="16.5" hidden="1" customHeight="1" x14ac:dyDescent="0.25">
      <c r="C3828" s="222"/>
      <c r="D3828" s="295" t="s">
        <v>873</v>
      </c>
      <c r="E3828" s="293">
        <v>298999550</v>
      </c>
      <c r="F3828" s="531">
        <f>F3829</f>
        <v>298999550</v>
      </c>
      <c r="G3828" s="333">
        <f>F3828/E3828*100</f>
        <v>100</v>
      </c>
      <c r="H3828" s="333">
        <v>100</v>
      </c>
      <c r="I3828" s="111"/>
    </row>
    <row r="3829" spans="3:9" s="115" customFormat="1" ht="16.5" hidden="1" customHeight="1" x14ac:dyDescent="0.25">
      <c r="C3829" s="222"/>
      <c r="D3829" s="295" t="s">
        <v>874</v>
      </c>
      <c r="E3829" s="293">
        <v>298999550</v>
      </c>
      <c r="F3829" s="531">
        <f>F3830</f>
        <v>298999550</v>
      </c>
      <c r="G3829" s="333">
        <f>F3829/E3829*100</f>
        <v>100</v>
      </c>
      <c r="H3829" s="333">
        <v>100</v>
      </c>
      <c r="I3829" s="121"/>
    </row>
    <row r="3830" spans="3:9" ht="16.5" hidden="1" customHeight="1" x14ac:dyDescent="0.25">
      <c r="C3830" s="222"/>
      <c r="D3830" s="294" t="s">
        <v>2858</v>
      </c>
      <c r="E3830" s="123">
        <v>298999550</v>
      </c>
      <c r="F3830" s="243">
        <v>298999550</v>
      </c>
      <c r="G3830" s="379">
        <f>F3830/E3830*100</f>
        <v>100</v>
      </c>
      <c r="H3830" s="379">
        <v>100</v>
      </c>
      <c r="I3830" s="111"/>
    </row>
    <row r="3831" spans="3:9" ht="16.5" hidden="1" customHeight="1" x14ac:dyDescent="0.25">
      <c r="C3831" s="222"/>
      <c r="D3831" s="295"/>
      <c r="E3831" s="111"/>
      <c r="F3831" s="113"/>
      <c r="G3831" s="114"/>
      <c r="H3831" s="114"/>
      <c r="I3831" s="111"/>
    </row>
    <row r="3832" spans="3:9" ht="16.5" hidden="1" customHeight="1" x14ac:dyDescent="0.25">
      <c r="C3832" s="222"/>
      <c r="D3832" s="295" t="s">
        <v>630</v>
      </c>
      <c r="E3832" s="293">
        <v>1897999100</v>
      </c>
      <c r="F3832" s="531">
        <f>F3833</f>
        <v>1895223800</v>
      </c>
      <c r="G3832" s="333">
        <f>F3832/E3832*100</f>
        <v>99.853777591359233</v>
      </c>
      <c r="H3832" s="333">
        <v>100</v>
      </c>
      <c r="I3832" s="111"/>
    </row>
    <row r="3833" spans="3:9" s="115" customFormat="1" ht="16.5" hidden="1" customHeight="1" x14ac:dyDescent="0.25">
      <c r="C3833" s="222"/>
      <c r="D3833" s="295" t="s">
        <v>2859</v>
      </c>
      <c r="E3833" s="293">
        <v>1897999100</v>
      </c>
      <c r="F3833" s="531">
        <f>F3834+F3835</f>
        <v>1895223800</v>
      </c>
      <c r="G3833" s="333">
        <f>F3833/E3833*100</f>
        <v>99.853777591359233</v>
      </c>
      <c r="H3833" s="333">
        <v>100</v>
      </c>
      <c r="I3833" s="121"/>
    </row>
    <row r="3834" spans="3:9" ht="16.5" hidden="1" customHeight="1" x14ac:dyDescent="0.25">
      <c r="C3834" s="222"/>
      <c r="D3834" s="294" t="s">
        <v>2860</v>
      </c>
      <c r="E3834" s="123">
        <v>600000000</v>
      </c>
      <c r="F3834" s="243">
        <v>598916000</v>
      </c>
      <c r="G3834" s="379">
        <f>F3834/E3834*100</f>
        <v>99.819333333333333</v>
      </c>
      <c r="H3834" s="379">
        <v>100</v>
      </c>
      <c r="I3834" s="111"/>
    </row>
    <row r="3835" spans="3:9" ht="16.5" hidden="1" customHeight="1" x14ac:dyDescent="0.25">
      <c r="C3835" s="222"/>
      <c r="D3835" s="294" t="s">
        <v>2861</v>
      </c>
      <c r="E3835" s="123">
        <v>1297999100</v>
      </c>
      <c r="F3835" s="243">
        <v>1296307800</v>
      </c>
      <c r="G3835" s="379">
        <f>F3835/E3835*100</f>
        <v>99.86969944740332</v>
      </c>
      <c r="H3835" s="379">
        <v>100</v>
      </c>
      <c r="I3835" s="111"/>
    </row>
    <row r="3836" spans="3:9" ht="16.5" hidden="1" customHeight="1" x14ac:dyDescent="0.25">
      <c r="C3836" s="222"/>
      <c r="D3836" s="294"/>
      <c r="E3836" s="123"/>
      <c r="F3836" s="108"/>
      <c r="G3836" s="114"/>
      <c r="H3836" s="114"/>
      <c r="I3836" s="111"/>
    </row>
    <row r="3837" spans="3:9" ht="16.5" hidden="1" customHeight="1" x14ac:dyDescent="0.25">
      <c r="C3837" s="222"/>
      <c r="D3837" s="295" t="s">
        <v>2144</v>
      </c>
      <c r="E3837" s="293">
        <v>4500000000</v>
      </c>
      <c r="F3837" s="113">
        <f>+E3837</f>
        <v>4500000000</v>
      </c>
      <c r="G3837" s="331">
        <f>G3838</f>
        <v>100</v>
      </c>
      <c r="H3837" s="331">
        <v>100</v>
      </c>
      <c r="I3837" s="111"/>
    </row>
    <row r="3838" spans="3:9" ht="16.5" hidden="1" customHeight="1" x14ac:dyDescent="0.25">
      <c r="C3838" s="222"/>
      <c r="D3838" s="295" t="s">
        <v>2862</v>
      </c>
      <c r="E3838" s="293">
        <v>4500000000</v>
      </c>
      <c r="F3838" s="113">
        <f>+E3838</f>
        <v>4500000000</v>
      </c>
      <c r="G3838" s="331">
        <f>G3839</f>
        <v>100</v>
      </c>
      <c r="H3838" s="331">
        <v>100</v>
      </c>
      <c r="I3838" s="111"/>
    </row>
    <row r="3839" spans="3:9" s="115" customFormat="1" ht="16.5" hidden="1" customHeight="1" x14ac:dyDescent="0.25">
      <c r="C3839" s="222"/>
      <c r="D3839" s="295" t="s">
        <v>2863</v>
      </c>
      <c r="E3839" s="293">
        <v>4500000000</v>
      </c>
      <c r="F3839" s="113">
        <f>+E3839</f>
        <v>4500000000</v>
      </c>
      <c r="G3839" s="331">
        <f>F3839/E3839*100</f>
        <v>100</v>
      </c>
      <c r="H3839" s="331">
        <v>100</v>
      </c>
      <c r="I3839" s="121"/>
    </row>
    <row r="3840" spans="3:9" ht="16.5" hidden="1" customHeight="1" x14ac:dyDescent="0.25">
      <c r="C3840" s="222"/>
      <c r="D3840" s="106"/>
      <c r="E3840" s="123"/>
      <c r="F3840" s="124"/>
      <c r="G3840" s="365"/>
      <c r="H3840" s="117"/>
      <c r="I3840" s="111"/>
    </row>
    <row r="3841" spans="1:9" ht="16.5" customHeight="1" x14ac:dyDescent="0.25">
      <c r="A3841" s="170"/>
      <c r="B3841" s="170"/>
      <c r="C3841" s="222" t="s">
        <v>2864</v>
      </c>
      <c r="D3841" s="277" t="s">
        <v>2865</v>
      </c>
      <c r="E3841" s="168">
        <f>+E3842+E3867+E3871+E3887+E3891+E3899+E3903+E3910+E3916+E3920+E3926+E3930+E3944+E3949</f>
        <v>100808611000</v>
      </c>
      <c r="F3841" s="296">
        <f>+F3842+F3867+F3871+F3887+F3891+F3899+F3903+F3910+F3916+F3920+F3926+F3930+F3939+F3944+F3949</f>
        <v>97434298155</v>
      </c>
      <c r="G3841" s="297">
        <f t="shared" ref="G3841:G3844" si="233">F3841/E3841*100</f>
        <v>96.652753359531957</v>
      </c>
      <c r="H3841" s="297">
        <f>(H3842+H3870+H3873+H3890+H3893+H3903++H3907+H3916+H3921+H3925+H3931+H3943+H3949)/14</f>
        <v>71.142857142857139</v>
      </c>
      <c r="I3841" s="535"/>
    </row>
    <row r="3842" spans="1:9" s="115" customFormat="1" ht="16.5" hidden="1" customHeight="1" x14ac:dyDescent="0.25">
      <c r="A3842" s="171"/>
      <c r="B3842" s="171"/>
      <c r="C3842" s="222"/>
      <c r="D3842" s="298" t="s">
        <v>82</v>
      </c>
      <c r="E3842" s="536">
        <f>+E3843+E3845+E3848+E3853+E3855+E3857+E3860+E3863</f>
        <v>26242583300</v>
      </c>
      <c r="F3842" s="299">
        <f>F3843+F3845+F3848+F3853+F3855+F3857+F3860+F3863</f>
        <v>24124910000</v>
      </c>
      <c r="G3842" s="356">
        <f t="shared" si="233"/>
        <v>91.930393148451969</v>
      </c>
      <c r="H3842" s="356">
        <v>96</v>
      </c>
      <c r="I3842" s="536"/>
    </row>
    <row r="3843" spans="1:9" s="115" customFormat="1" ht="16.5" hidden="1" customHeight="1" x14ac:dyDescent="0.25">
      <c r="A3843" s="171"/>
      <c r="B3843" s="171"/>
      <c r="C3843" s="222"/>
      <c r="D3843" s="300" t="s">
        <v>2866</v>
      </c>
      <c r="E3843" s="536">
        <v>450000000</v>
      </c>
      <c r="F3843" s="299">
        <f>+F3844</f>
        <v>139350000</v>
      </c>
      <c r="G3843" s="370">
        <f t="shared" si="233"/>
        <v>30.966666666666665</v>
      </c>
      <c r="H3843" s="356">
        <v>30</v>
      </c>
      <c r="I3843" s="536"/>
    </row>
    <row r="3844" spans="1:9" ht="16.5" hidden="1" customHeight="1" x14ac:dyDescent="0.25">
      <c r="A3844" s="170"/>
      <c r="B3844" s="170"/>
      <c r="C3844" s="222"/>
      <c r="D3844" s="301" t="s">
        <v>2867</v>
      </c>
      <c r="E3844" s="537">
        <v>450000000</v>
      </c>
      <c r="F3844" s="302">
        <f>139350000</f>
        <v>139350000</v>
      </c>
      <c r="G3844" s="371">
        <f t="shared" si="233"/>
        <v>30.966666666666665</v>
      </c>
      <c r="H3844" s="378">
        <v>20</v>
      </c>
      <c r="I3844" s="537"/>
    </row>
    <row r="3845" spans="1:9" s="115" customFormat="1" ht="16.5" hidden="1" customHeight="1" x14ac:dyDescent="0.25">
      <c r="A3845" s="171"/>
      <c r="B3845" s="171"/>
      <c r="C3845" s="222"/>
      <c r="D3845" s="298" t="s">
        <v>797</v>
      </c>
      <c r="E3845" s="536">
        <v>1940000000</v>
      </c>
      <c r="F3845" s="300">
        <f>F3846+F3847</f>
        <v>1904000000</v>
      </c>
      <c r="G3845" s="370">
        <f>+F3845/E3845*100</f>
        <v>98.144329896907209</v>
      </c>
      <c r="H3845" s="370">
        <v>100</v>
      </c>
      <c r="I3845" s="536"/>
    </row>
    <row r="3846" spans="1:9" ht="16.5" hidden="1" customHeight="1" x14ac:dyDescent="0.25">
      <c r="A3846" s="170"/>
      <c r="B3846" s="170"/>
      <c r="C3846" s="222"/>
      <c r="D3846" s="303" t="s">
        <v>2868</v>
      </c>
      <c r="E3846" s="537">
        <v>500000000</v>
      </c>
      <c r="F3846" s="301">
        <f>464000000</f>
        <v>464000000</v>
      </c>
      <c r="G3846" s="371">
        <f>+F3846/E3846*100</f>
        <v>92.800000000000011</v>
      </c>
      <c r="H3846" s="371">
        <v>100</v>
      </c>
      <c r="I3846" s="537"/>
    </row>
    <row r="3847" spans="1:9" ht="16.5" hidden="1" customHeight="1" x14ac:dyDescent="0.25">
      <c r="A3847" s="170"/>
      <c r="B3847" s="170"/>
      <c r="C3847" s="222"/>
      <c r="D3847" s="303" t="s">
        <v>2869</v>
      </c>
      <c r="E3847" s="537">
        <v>1440000000</v>
      </c>
      <c r="F3847" s="301">
        <f>1440000000</f>
        <v>1440000000</v>
      </c>
      <c r="G3847" s="371">
        <f>+F3847/E3847*100</f>
        <v>100</v>
      </c>
      <c r="H3847" s="371">
        <v>100</v>
      </c>
      <c r="I3847" s="537"/>
    </row>
    <row r="3848" spans="1:9" s="115" customFormat="1" ht="16.5" hidden="1" customHeight="1" x14ac:dyDescent="0.25">
      <c r="A3848" s="171"/>
      <c r="B3848" s="171"/>
      <c r="C3848" s="222"/>
      <c r="D3848" s="298" t="s">
        <v>680</v>
      </c>
      <c r="E3848" s="536">
        <v>8176583300</v>
      </c>
      <c r="F3848" s="300">
        <f>SUM(F3849:F3852)</f>
        <v>7668000000</v>
      </c>
      <c r="G3848" s="370">
        <f>+F3848/E3848*100</f>
        <v>93.78000221681836</v>
      </c>
      <c r="H3848" s="370">
        <v>100</v>
      </c>
      <c r="I3848" s="536"/>
    </row>
    <row r="3849" spans="1:9" ht="16.5" hidden="1" customHeight="1" x14ac:dyDescent="0.25">
      <c r="A3849" s="170"/>
      <c r="B3849" s="170"/>
      <c r="C3849" s="222"/>
      <c r="D3849" s="303" t="s">
        <v>2870</v>
      </c>
      <c r="E3849" s="537">
        <v>642000000</v>
      </c>
      <c r="F3849" s="301">
        <f>299000000+299000000</f>
        <v>598000000</v>
      </c>
      <c r="G3849" s="371">
        <f>F3849/E3850*100</f>
        <v>54.36363636363636</v>
      </c>
      <c r="H3849" s="371">
        <v>100</v>
      </c>
      <c r="I3849" s="537"/>
    </row>
    <row r="3850" spans="1:9" ht="16.5" hidden="1" customHeight="1" x14ac:dyDescent="0.25">
      <c r="A3850" s="170"/>
      <c r="B3850" s="170"/>
      <c r="C3850" s="222"/>
      <c r="D3850" s="303" t="s">
        <v>2871</v>
      </c>
      <c r="E3850" s="537">
        <v>1100000000</v>
      </c>
      <c r="F3850" s="301">
        <f>1100000000</f>
        <v>1100000000</v>
      </c>
      <c r="G3850" s="371">
        <f>+F3850/E3850*100</f>
        <v>100</v>
      </c>
      <c r="H3850" s="371">
        <v>100</v>
      </c>
      <c r="I3850" s="537"/>
    </row>
    <row r="3851" spans="1:9" ht="16.5" hidden="1" customHeight="1" x14ac:dyDescent="0.25">
      <c r="A3851" s="170"/>
      <c r="B3851" s="170"/>
      <c r="C3851" s="222"/>
      <c r="D3851" s="303" t="s">
        <v>2872</v>
      </c>
      <c r="E3851" s="537">
        <v>374500000</v>
      </c>
      <c r="F3851" s="301">
        <f>104700000+244300000</f>
        <v>349000000</v>
      </c>
      <c r="G3851" s="371">
        <f>F3851/E3852*100</f>
        <v>5.75899674514375</v>
      </c>
      <c r="H3851" s="371">
        <v>100</v>
      </c>
      <c r="I3851" s="537"/>
    </row>
    <row r="3852" spans="1:9" ht="16.5" hidden="1" customHeight="1" x14ac:dyDescent="0.25">
      <c r="A3852" s="170"/>
      <c r="B3852" s="170"/>
      <c r="C3852" s="222"/>
      <c r="D3852" s="303" t="s">
        <v>979</v>
      </c>
      <c r="E3852" s="537">
        <v>6060083300</v>
      </c>
      <c r="F3852" s="301">
        <f>187500000+104100000+187500000+178500000+216600000+278400000+437500000+179400000+242900000+231500000+461500000+505400000+208200000+649600000+418600000+416500000+485800000+231500000</f>
        <v>5621000000</v>
      </c>
      <c r="G3852" s="371">
        <f>+F3852/E3852*100</f>
        <v>92.754500585825284</v>
      </c>
      <c r="H3852" s="371">
        <v>100</v>
      </c>
      <c r="I3852" s="537"/>
    </row>
    <row r="3853" spans="1:9" s="115" customFormat="1" ht="16.5" hidden="1" customHeight="1" x14ac:dyDescent="0.2">
      <c r="A3853" s="171"/>
      <c r="B3853" s="171"/>
      <c r="C3853" s="222"/>
      <c r="D3853" s="298" t="s">
        <v>693</v>
      </c>
      <c r="E3853" s="536">
        <v>481500000</v>
      </c>
      <c r="F3853" s="304">
        <f>F3854</f>
        <v>448000000</v>
      </c>
      <c r="G3853" s="370">
        <f>F3853/E3854*100</f>
        <v>93.042575285565945</v>
      </c>
      <c r="H3853" s="370">
        <v>100</v>
      </c>
      <c r="I3853" s="536"/>
    </row>
    <row r="3854" spans="1:9" ht="16.5" hidden="1" customHeight="1" x14ac:dyDescent="0.2">
      <c r="A3854" s="170"/>
      <c r="B3854" s="170"/>
      <c r="C3854" s="222"/>
      <c r="D3854" s="303" t="s">
        <v>2873</v>
      </c>
      <c r="E3854" s="537">
        <v>481500000</v>
      </c>
      <c r="F3854" s="305">
        <f>448000000</f>
        <v>448000000</v>
      </c>
      <c r="G3854" s="371">
        <f>+F3854/E3854*100</f>
        <v>93.042575285565945</v>
      </c>
      <c r="H3854" s="371">
        <v>100</v>
      </c>
      <c r="I3854" s="537"/>
    </row>
    <row r="3855" spans="1:9" s="115" customFormat="1" ht="16.5" hidden="1" customHeight="1" x14ac:dyDescent="0.2">
      <c r="A3855" s="171"/>
      <c r="B3855" s="171"/>
      <c r="C3855" s="222"/>
      <c r="D3855" s="298" t="s">
        <v>92</v>
      </c>
      <c r="E3855" s="536">
        <v>245560000</v>
      </c>
      <c r="F3855" s="304">
        <f>F3856</f>
        <v>245560000</v>
      </c>
      <c r="G3855" s="370">
        <v>100</v>
      </c>
      <c r="H3855" s="370">
        <v>100</v>
      </c>
      <c r="I3855" s="536"/>
    </row>
    <row r="3856" spans="1:9" ht="16.5" hidden="1" customHeight="1" x14ac:dyDescent="0.2">
      <c r="A3856" s="170"/>
      <c r="B3856" s="170"/>
      <c r="C3856" s="222"/>
      <c r="D3856" s="303" t="s">
        <v>2874</v>
      </c>
      <c r="E3856" s="537">
        <v>245560000</v>
      </c>
      <c r="F3856" s="305">
        <f>245560000</f>
        <v>245560000</v>
      </c>
      <c r="G3856" s="371">
        <v>100</v>
      </c>
      <c r="H3856" s="371">
        <v>100</v>
      </c>
      <c r="I3856" s="537"/>
    </row>
    <row r="3857" spans="1:9" s="115" customFormat="1" ht="16.5" hidden="1" customHeight="1" x14ac:dyDescent="0.2">
      <c r="A3857" s="171"/>
      <c r="B3857" s="171"/>
      <c r="C3857" s="222"/>
      <c r="D3857" s="298" t="s">
        <v>2875</v>
      </c>
      <c r="E3857" s="536">
        <v>4050000000</v>
      </c>
      <c r="F3857" s="306">
        <f>SUM(F3858:F3859)</f>
        <v>4050000000</v>
      </c>
      <c r="G3857" s="370">
        <v>100</v>
      </c>
      <c r="H3857" s="370">
        <v>100</v>
      </c>
      <c r="I3857" s="536"/>
    </row>
    <row r="3858" spans="1:9" ht="16.5" hidden="1" customHeight="1" x14ac:dyDescent="0.2">
      <c r="A3858" s="170"/>
      <c r="B3858" s="170"/>
      <c r="C3858" s="222"/>
      <c r="D3858" s="303" t="s">
        <v>1010</v>
      </c>
      <c r="E3858" s="537">
        <v>200000000</v>
      </c>
      <c r="F3858" s="307">
        <f>200000000</f>
        <v>200000000</v>
      </c>
      <c r="G3858" s="371">
        <v>100</v>
      </c>
      <c r="H3858" s="371">
        <v>100</v>
      </c>
      <c r="I3858" s="537"/>
    </row>
    <row r="3859" spans="1:9" ht="16.5" hidden="1" customHeight="1" x14ac:dyDescent="0.2">
      <c r="A3859" s="170"/>
      <c r="B3859" s="170"/>
      <c r="C3859" s="222"/>
      <c r="D3859" s="303" t="s">
        <v>1011</v>
      </c>
      <c r="E3859" s="537">
        <v>3850000000</v>
      </c>
      <c r="F3859" s="305">
        <f>3850000000</f>
        <v>3850000000</v>
      </c>
      <c r="G3859" s="371">
        <v>100</v>
      </c>
      <c r="H3859" s="371">
        <v>100</v>
      </c>
      <c r="I3859" s="537"/>
    </row>
    <row r="3860" spans="1:9" s="115" customFormat="1" ht="16.5" hidden="1" customHeight="1" x14ac:dyDescent="0.2">
      <c r="A3860" s="171"/>
      <c r="B3860" s="171"/>
      <c r="C3860" s="222"/>
      <c r="D3860" s="303" t="s">
        <v>109</v>
      </c>
      <c r="E3860" s="536">
        <v>9670000000</v>
      </c>
      <c r="F3860" s="305">
        <f>SUM(F3861:F3862)</f>
        <v>8670000000</v>
      </c>
      <c r="G3860" s="371">
        <v>100</v>
      </c>
      <c r="H3860" s="371">
        <v>100</v>
      </c>
      <c r="I3860" s="536"/>
    </row>
    <row r="3861" spans="1:9" ht="16.5" hidden="1" customHeight="1" x14ac:dyDescent="0.2">
      <c r="A3861" s="170"/>
      <c r="B3861" s="170"/>
      <c r="C3861" s="222"/>
      <c r="D3861" s="303" t="s">
        <v>1018</v>
      </c>
      <c r="E3861" s="537">
        <v>8170000000</v>
      </c>
      <c r="F3861" s="305">
        <f>7170000000</f>
        <v>7170000000</v>
      </c>
      <c r="G3861" s="371">
        <v>100</v>
      </c>
      <c r="H3861" s="371">
        <v>100</v>
      </c>
      <c r="I3861" s="537"/>
    </row>
    <row r="3862" spans="1:9" ht="16.5" hidden="1" customHeight="1" x14ac:dyDescent="0.2">
      <c r="A3862" s="170"/>
      <c r="B3862" s="170"/>
      <c r="C3862" s="222"/>
      <c r="D3862" s="303" t="s">
        <v>2876</v>
      </c>
      <c r="E3862" s="537">
        <v>1500000000</v>
      </c>
      <c r="F3862" s="305">
        <f>1500000000</f>
        <v>1500000000</v>
      </c>
      <c r="G3862" s="371">
        <v>100</v>
      </c>
      <c r="H3862" s="371">
        <v>100</v>
      </c>
      <c r="I3862" s="537"/>
    </row>
    <row r="3863" spans="1:9" s="115" customFormat="1" ht="16.5" hidden="1" customHeight="1" x14ac:dyDescent="0.2">
      <c r="A3863" s="171"/>
      <c r="B3863" s="171"/>
      <c r="C3863" s="222"/>
      <c r="D3863" s="298" t="s">
        <v>396</v>
      </c>
      <c r="E3863" s="536">
        <v>1228940000</v>
      </c>
      <c r="F3863" s="304">
        <f>SUM(F3864:F3864)</f>
        <v>1000000000</v>
      </c>
      <c r="G3863" s="370">
        <v>100</v>
      </c>
      <c r="H3863" s="370">
        <v>100</v>
      </c>
      <c r="I3863" s="536"/>
    </row>
    <row r="3864" spans="1:9" ht="16.5" hidden="1" customHeight="1" x14ac:dyDescent="0.2">
      <c r="A3864" s="170"/>
      <c r="B3864" s="170"/>
      <c r="C3864" s="222"/>
      <c r="D3864" s="303" t="s">
        <v>2877</v>
      </c>
      <c r="E3864" s="537">
        <v>1000000000</v>
      </c>
      <c r="F3864" s="305">
        <f>1000000000</f>
        <v>1000000000</v>
      </c>
      <c r="G3864" s="371">
        <v>100</v>
      </c>
      <c r="H3864" s="371">
        <v>100</v>
      </c>
      <c r="I3864" s="537"/>
    </row>
    <row r="3865" spans="1:9" ht="16.5" hidden="1" customHeight="1" x14ac:dyDescent="0.2">
      <c r="A3865" s="170"/>
      <c r="B3865" s="170"/>
      <c r="C3865" s="222"/>
      <c r="D3865" s="294" t="s">
        <v>2878</v>
      </c>
      <c r="E3865" s="537">
        <v>228940000</v>
      </c>
      <c r="F3865" s="305">
        <f>+E3865</f>
        <v>228940000</v>
      </c>
      <c r="G3865" s="371">
        <v>100</v>
      </c>
      <c r="H3865" s="371">
        <v>100</v>
      </c>
      <c r="I3865" s="537"/>
    </row>
    <row r="3866" spans="1:9" ht="16.5" hidden="1" customHeight="1" x14ac:dyDescent="0.2">
      <c r="A3866" s="170"/>
      <c r="B3866" s="170"/>
      <c r="C3866" s="222"/>
      <c r="D3866" s="294"/>
      <c r="E3866" s="537"/>
      <c r="F3866" s="305"/>
      <c r="G3866" s="371"/>
      <c r="H3866" s="371"/>
      <c r="I3866" s="537"/>
    </row>
    <row r="3867" spans="1:9" s="115" customFormat="1" ht="16.5" hidden="1" customHeight="1" x14ac:dyDescent="0.2">
      <c r="A3867" s="171"/>
      <c r="B3867" s="171"/>
      <c r="C3867" s="222"/>
      <c r="D3867" s="308" t="s">
        <v>2879</v>
      </c>
      <c r="E3867" s="304">
        <v>5000000000</v>
      </c>
      <c r="F3867" s="304">
        <v>5000000000</v>
      </c>
      <c r="G3867" s="372">
        <v>100</v>
      </c>
      <c r="H3867" s="372">
        <v>100</v>
      </c>
      <c r="I3867" s="121"/>
    </row>
    <row r="3868" spans="1:9" ht="16.5" hidden="1" customHeight="1" x14ac:dyDescent="0.2">
      <c r="A3868" s="170"/>
      <c r="B3868" s="170"/>
      <c r="C3868" s="222"/>
      <c r="D3868" s="309" t="s">
        <v>2880</v>
      </c>
      <c r="E3868" s="307">
        <v>5000000000</v>
      </c>
      <c r="F3868" s="307">
        <v>5000000000</v>
      </c>
      <c r="G3868" s="373">
        <v>100</v>
      </c>
      <c r="H3868" s="373">
        <v>100</v>
      </c>
      <c r="I3868" s="111"/>
    </row>
    <row r="3869" spans="1:9" ht="16.5" hidden="1" customHeight="1" x14ac:dyDescent="0.2">
      <c r="A3869" s="170"/>
      <c r="B3869" s="170"/>
      <c r="C3869" s="222"/>
      <c r="D3869" s="309" t="s">
        <v>2881</v>
      </c>
      <c r="E3869" s="305">
        <v>5000000000</v>
      </c>
      <c r="F3869" s="305">
        <v>5000000000</v>
      </c>
      <c r="G3869" s="373">
        <v>100</v>
      </c>
      <c r="H3869" s="373">
        <v>100</v>
      </c>
      <c r="I3869" s="111"/>
    </row>
    <row r="3870" spans="1:9" ht="16.5" hidden="1" customHeight="1" x14ac:dyDescent="0.2">
      <c r="A3870" s="170"/>
      <c r="B3870" s="170"/>
      <c r="C3870" s="222"/>
      <c r="D3870" s="309"/>
      <c r="E3870" s="305"/>
      <c r="F3870" s="305"/>
      <c r="G3870" s="373"/>
      <c r="H3870" s="373"/>
      <c r="I3870" s="111"/>
    </row>
    <row r="3871" spans="1:9" s="115" customFormat="1" ht="16.5" hidden="1" customHeight="1" x14ac:dyDescent="0.2">
      <c r="A3871" s="171"/>
      <c r="B3871" s="171"/>
      <c r="C3871" s="222"/>
      <c r="D3871" s="308" t="s">
        <v>150</v>
      </c>
      <c r="E3871" s="306">
        <f>E3872+E3874+E3876+E3879+E3881+E3884</f>
        <v>10121291650</v>
      </c>
      <c r="F3871" s="304">
        <f>F3872+F3874+F3876+F3879+F3881+F3884</f>
        <v>9960400650</v>
      </c>
      <c r="G3871" s="372">
        <f t="shared" ref="G3871:G3883" si="234">F3871/E3871*100</f>
        <v>98.41037087395857</v>
      </c>
      <c r="H3871" s="372">
        <v>100</v>
      </c>
      <c r="I3871" s="121"/>
    </row>
    <row r="3872" spans="1:9" s="115" customFormat="1" ht="16.5" hidden="1" customHeight="1" x14ac:dyDescent="0.2">
      <c r="A3872" s="171"/>
      <c r="B3872" s="171"/>
      <c r="C3872" s="222"/>
      <c r="D3872" s="308" t="s">
        <v>2882</v>
      </c>
      <c r="E3872" s="306">
        <v>3000000000</v>
      </c>
      <c r="F3872" s="304">
        <f>F3873</f>
        <v>2990000000</v>
      </c>
      <c r="G3872" s="372">
        <f t="shared" si="234"/>
        <v>99.666666666666671</v>
      </c>
      <c r="H3872" s="372">
        <v>100</v>
      </c>
      <c r="I3872" s="121"/>
    </row>
    <row r="3873" spans="1:9" ht="16.5" hidden="1" customHeight="1" x14ac:dyDescent="0.2">
      <c r="A3873" s="170"/>
      <c r="B3873" s="170"/>
      <c r="C3873" s="222"/>
      <c r="D3873" s="309" t="s">
        <v>2883</v>
      </c>
      <c r="E3873" s="305">
        <v>3000000000</v>
      </c>
      <c r="F3873" s="305">
        <f>2990000000</f>
        <v>2990000000</v>
      </c>
      <c r="G3873" s="373">
        <f t="shared" si="234"/>
        <v>99.666666666666671</v>
      </c>
      <c r="H3873" s="358">
        <v>100</v>
      </c>
      <c r="I3873" s="310"/>
    </row>
    <row r="3874" spans="1:9" s="115" customFormat="1" ht="16.5" hidden="1" customHeight="1" x14ac:dyDescent="0.2">
      <c r="A3874" s="171"/>
      <c r="B3874" s="171"/>
      <c r="C3874" s="222"/>
      <c r="D3874" s="308" t="s">
        <v>166</v>
      </c>
      <c r="E3874" s="304">
        <v>750000000</v>
      </c>
      <c r="F3874" s="304">
        <f>F3875</f>
        <v>748700000</v>
      </c>
      <c r="G3874" s="372">
        <f t="shared" si="234"/>
        <v>99.826666666666668</v>
      </c>
      <c r="H3874" s="357">
        <v>100</v>
      </c>
      <c r="I3874" s="311"/>
    </row>
    <row r="3875" spans="1:9" ht="16.5" hidden="1" customHeight="1" x14ac:dyDescent="0.2">
      <c r="A3875" s="170"/>
      <c r="B3875" s="170"/>
      <c r="C3875" s="222"/>
      <c r="D3875" s="309" t="s">
        <v>2884</v>
      </c>
      <c r="E3875" s="305">
        <v>750000000</v>
      </c>
      <c r="F3875" s="305">
        <f>748700000</f>
        <v>748700000</v>
      </c>
      <c r="G3875" s="373">
        <f t="shared" si="234"/>
        <v>99.826666666666668</v>
      </c>
      <c r="H3875" s="373">
        <v>100</v>
      </c>
      <c r="I3875" s="310"/>
    </row>
    <row r="3876" spans="1:9" s="115" customFormat="1" ht="16.5" hidden="1" customHeight="1" x14ac:dyDescent="0.2">
      <c r="A3876" s="171"/>
      <c r="B3876" s="171"/>
      <c r="C3876" s="222"/>
      <c r="D3876" s="308" t="s">
        <v>182</v>
      </c>
      <c r="E3876" s="304">
        <f>E3877+E3878</f>
        <v>868100000</v>
      </c>
      <c r="F3876" s="304">
        <f>F3877+F3878</f>
        <v>768100000</v>
      </c>
      <c r="G3876" s="372">
        <f t="shared" si="234"/>
        <v>88.480589793802551</v>
      </c>
      <c r="H3876" s="372">
        <v>100</v>
      </c>
      <c r="I3876" s="311"/>
    </row>
    <row r="3877" spans="1:9" ht="16.5" hidden="1" customHeight="1" x14ac:dyDescent="0.2">
      <c r="A3877" s="170"/>
      <c r="B3877" s="170"/>
      <c r="C3877" s="222"/>
      <c r="D3877" s="309" t="s">
        <v>2576</v>
      </c>
      <c r="E3877" s="305">
        <v>618100000</v>
      </c>
      <c r="F3877" s="305">
        <f>618100000</f>
        <v>618100000</v>
      </c>
      <c r="G3877" s="373">
        <f t="shared" si="234"/>
        <v>100</v>
      </c>
      <c r="H3877" s="373">
        <v>100</v>
      </c>
      <c r="I3877" s="310"/>
    </row>
    <row r="3878" spans="1:9" ht="16.5" hidden="1" customHeight="1" x14ac:dyDescent="0.2">
      <c r="A3878" s="170"/>
      <c r="B3878" s="170"/>
      <c r="C3878" s="222"/>
      <c r="D3878" s="309" t="s">
        <v>2885</v>
      </c>
      <c r="E3878" s="305">
        <v>250000000</v>
      </c>
      <c r="F3878" s="305">
        <f>150000000</f>
        <v>150000000</v>
      </c>
      <c r="G3878" s="373">
        <f t="shared" si="234"/>
        <v>60</v>
      </c>
      <c r="H3878" s="373">
        <v>100</v>
      </c>
      <c r="I3878" s="310"/>
    </row>
    <row r="3879" spans="1:9" s="115" customFormat="1" ht="16.5" hidden="1" customHeight="1" x14ac:dyDescent="0.2">
      <c r="A3879" s="171"/>
      <c r="B3879" s="171"/>
      <c r="C3879" s="222"/>
      <c r="D3879" s="308" t="s">
        <v>2886</v>
      </c>
      <c r="E3879" s="304">
        <v>4500000000</v>
      </c>
      <c r="F3879" s="304">
        <v>4451153000</v>
      </c>
      <c r="G3879" s="372">
        <f t="shared" si="234"/>
        <v>98.914511111111111</v>
      </c>
      <c r="H3879" s="372">
        <v>100</v>
      </c>
      <c r="I3879" s="311"/>
    </row>
    <row r="3880" spans="1:9" ht="16.5" hidden="1" customHeight="1" x14ac:dyDescent="0.2">
      <c r="A3880" s="170"/>
      <c r="B3880" s="170"/>
      <c r="C3880" s="222"/>
      <c r="D3880" s="309" t="s">
        <v>2887</v>
      </c>
      <c r="E3880" s="305">
        <v>4500000000</v>
      </c>
      <c r="F3880" s="305">
        <f>4451153000</f>
        <v>4451153000</v>
      </c>
      <c r="G3880" s="373">
        <f t="shared" si="234"/>
        <v>98.914511111111111</v>
      </c>
      <c r="H3880" s="373">
        <v>100</v>
      </c>
      <c r="I3880" s="310"/>
    </row>
    <row r="3881" spans="1:9" ht="16.5" hidden="1" customHeight="1" x14ac:dyDescent="0.2">
      <c r="A3881" s="170"/>
      <c r="B3881" s="170"/>
      <c r="C3881" s="222"/>
      <c r="D3881" s="309" t="s">
        <v>843</v>
      </c>
      <c r="E3881" s="305">
        <f>E3882+E3883</f>
        <v>753191650</v>
      </c>
      <c r="F3881" s="305">
        <f>F3882+F3883</f>
        <v>752447650</v>
      </c>
      <c r="G3881" s="373">
        <f t="shared" si="234"/>
        <v>99.901220360050459</v>
      </c>
      <c r="H3881" s="373">
        <v>100</v>
      </c>
      <c r="I3881" s="310"/>
    </row>
    <row r="3882" spans="1:9" ht="16.5" hidden="1" customHeight="1" x14ac:dyDescent="0.2">
      <c r="A3882" s="170"/>
      <c r="B3882" s="170"/>
      <c r="C3882" s="222"/>
      <c r="D3882" s="309" t="s">
        <v>2888</v>
      </c>
      <c r="E3882" s="305">
        <v>250000000</v>
      </c>
      <c r="F3882" s="305">
        <f>249256000</f>
        <v>249256000</v>
      </c>
      <c r="G3882" s="373">
        <f t="shared" si="234"/>
        <v>99.702399999999997</v>
      </c>
      <c r="H3882" s="373">
        <v>100</v>
      </c>
      <c r="I3882" s="310"/>
    </row>
    <row r="3883" spans="1:9" ht="16.5" hidden="1" customHeight="1" x14ac:dyDescent="0.2">
      <c r="A3883" s="170"/>
      <c r="B3883" s="170"/>
      <c r="C3883" s="222"/>
      <c r="D3883" s="309" t="s">
        <v>2889</v>
      </c>
      <c r="E3883" s="305">
        <v>503191650</v>
      </c>
      <c r="F3883" s="305">
        <f>503191650</f>
        <v>503191650</v>
      </c>
      <c r="G3883" s="373">
        <f t="shared" si="234"/>
        <v>100</v>
      </c>
      <c r="H3883" s="373">
        <v>100</v>
      </c>
      <c r="I3883" s="310"/>
    </row>
    <row r="3884" spans="1:9" s="115" customFormat="1" ht="16.5" hidden="1" customHeight="1" x14ac:dyDescent="0.2">
      <c r="A3884" s="171"/>
      <c r="B3884" s="171"/>
      <c r="C3884" s="222"/>
      <c r="D3884" s="308" t="s">
        <v>2890</v>
      </c>
      <c r="E3884" s="304">
        <v>250000000</v>
      </c>
      <c r="F3884" s="304">
        <v>250000000</v>
      </c>
      <c r="G3884" s="372">
        <v>100</v>
      </c>
      <c r="H3884" s="372">
        <v>100</v>
      </c>
      <c r="I3884" s="311"/>
    </row>
    <row r="3885" spans="1:9" ht="16.5" hidden="1" customHeight="1" x14ac:dyDescent="0.2">
      <c r="A3885" s="170"/>
      <c r="B3885" s="170"/>
      <c r="C3885" s="222"/>
      <c r="D3885" s="309" t="s">
        <v>2891</v>
      </c>
      <c r="E3885" s="305">
        <v>250000000</v>
      </c>
      <c r="F3885" s="305">
        <f>250000000</f>
        <v>250000000</v>
      </c>
      <c r="G3885" s="373">
        <v>100</v>
      </c>
      <c r="H3885" s="373">
        <v>100</v>
      </c>
      <c r="I3885" s="310"/>
    </row>
    <row r="3886" spans="1:9" ht="16.5" hidden="1" customHeight="1" x14ac:dyDescent="0.2">
      <c r="A3886" s="170"/>
      <c r="B3886" s="170"/>
      <c r="C3886" s="222"/>
      <c r="D3886" s="309"/>
      <c r="E3886" s="305"/>
      <c r="F3886" s="305"/>
      <c r="G3886" s="373"/>
      <c r="H3886" s="373"/>
      <c r="I3886" s="310"/>
    </row>
    <row r="3887" spans="1:9" s="115" customFormat="1" ht="16.5" hidden="1" customHeight="1" x14ac:dyDescent="0.2">
      <c r="A3887" s="171"/>
      <c r="B3887" s="171"/>
      <c r="C3887" s="222"/>
      <c r="D3887" s="308" t="s">
        <v>2879</v>
      </c>
      <c r="E3887" s="304">
        <v>5000000000</v>
      </c>
      <c r="F3887" s="304">
        <v>5000000000</v>
      </c>
      <c r="G3887" s="372">
        <v>100</v>
      </c>
      <c r="H3887" s="372">
        <v>100</v>
      </c>
      <c r="I3887" s="311"/>
    </row>
    <row r="3888" spans="1:9" ht="16.5" hidden="1" customHeight="1" x14ac:dyDescent="0.2">
      <c r="A3888" s="170"/>
      <c r="B3888" s="170"/>
      <c r="C3888" s="222"/>
      <c r="D3888" s="309" t="s">
        <v>2892</v>
      </c>
      <c r="E3888" s="305">
        <v>5000000000</v>
      </c>
      <c r="F3888" s="305">
        <v>5000000000</v>
      </c>
      <c r="G3888" s="373">
        <v>100</v>
      </c>
      <c r="H3888" s="373">
        <v>100</v>
      </c>
      <c r="I3888" s="310"/>
    </row>
    <row r="3889" spans="1:9" ht="16.5" hidden="1" customHeight="1" x14ac:dyDescent="0.2">
      <c r="A3889" s="170"/>
      <c r="B3889" s="170"/>
      <c r="C3889" s="222"/>
      <c r="D3889" s="309" t="s">
        <v>2884</v>
      </c>
      <c r="E3889" s="305">
        <v>5000000000</v>
      </c>
      <c r="F3889" s="305">
        <v>5000000000</v>
      </c>
      <c r="G3889" s="373">
        <v>100</v>
      </c>
      <c r="H3889" s="373">
        <v>100</v>
      </c>
      <c r="I3889" s="111"/>
    </row>
    <row r="3890" spans="1:9" ht="16.5" hidden="1" customHeight="1" x14ac:dyDescent="0.2">
      <c r="A3890" s="170"/>
      <c r="B3890" s="170"/>
      <c r="C3890" s="222"/>
      <c r="D3890" s="309"/>
      <c r="E3890" s="305"/>
      <c r="F3890" s="305"/>
      <c r="G3890" s="373"/>
      <c r="H3890" s="373"/>
      <c r="I3890" s="111"/>
    </row>
    <row r="3891" spans="1:9" s="115" customFormat="1" ht="16.5" hidden="1" customHeight="1" x14ac:dyDescent="0.2">
      <c r="A3891" s="171"/>
      <c r="B3891" s="171"/>
      <c r="C3891" s="222"/>
      <c r="D3891" s="308" t="s">
        <v>1047</v>
      </c>
      <c r="E3891" s="306">
        <f>E3892+E3894+E3896</f>
        <v>4752152750</v>
      </c>
      <c r="F3891" s="304">
        <f>F3892+F3894+F3896</f>
        <v>4743290750</v>
      </c>
      <c r="G3891" s="372">
        <f t="shared" ref="G3891:G3897" si="235">F3891/E3891*100</f>
        <v>99.813516095415906</v>
      </c>
      <c r="H3891" s="372">
        <v>100</v>
      </c>
      <c r="I3891" s="121"/>
    </row>
    <row r="3892" spans="1:9" s="115" customFormat="1" ht="16.5" hidden="1" customHeight="1" x14ac:dyDescent="0.2">
      <c r="A3892" s="171"/>
      <c r="B3892" s="171"/>
      <c r="C3892" s="222"/>
      <c r="D3892" s="308" t="s">
        <v>1048</v>
      </c>
      <c r="E3892" s="304">
        <v>450000000</v>
      </c>
      <c r="F3892" s="304">
        <f>F3893</f>
        <v>449700000</v>
      </c>
      <c r="G3892" s="372">
        <f t="shared" si="235"/>
        <v>99.933333333333323</v>
      </c>
      <c r="H3892" s="372">
        <v>100</v>
      </c>
      <c r="I3892" s="121"/>
    </row>
    <row r="3893" spans="1:9" ht="16.5" hidden="1" customHeight="1" x14ac:dyDescent="0.2">
      <c r="A3893" s="170"/>
      <c r="B3893" s="170"/>
      <c r="C3893" s="222"/>
      <c r="D3893" s="309" t="s">
        <v>2893</v>
      </c>
      <c r="E3893" s="305">
        <v>450000000</v>
      </c>
      <c r="F3893" s="305">
        <f>449700000</f>
        <v>449700000</v>
      </c>
      <c r="G3893" s="373">
        <f t="shared" si="235"/>
        <v>99.933333333333323</v>
      </c>
      <c r="H3893" s="373">
        <v>100</v>
      </c>
      <c r="I3893" s="111"/>
    </row>
    <row r="3894" spans="1:9" s="115" customFormat="1" ht="16.5" hidden="1" customHeight="1" x14ac:dyDescent="0.2">
      <c r="A3894" s="171"/>
      <c r="B3894" s="171"/>
      <c r="C3894" s="222"/>
      <c r="D3894" s="308" t="s">
        <v>1052</v>
      </c>
      <c r="E3894" s="304">
        <v>3500000000</v>
      </c>
      <c r="F3894" s="306">
        <f>F3895</f>
        <v>3491690000</v>
      </c>
      <c r="G3894" s="372">
        <f t="shared" si="235"/>
        <v>99.762571428571434</v>
      </c>
      <c r="H3894" s="372">
        <v>100</v>
      </c>
      <c r="I3894" s="121"/>
    </row>
    <row r="3895" spans="1:9" ht="16.5" hidden="1" customHeight="1" x14ac:dyDescent="0.2">
      <c r="A3895" s="170"/>
      <c r="B3895" s="170"/>
      <c r="C3895" s="222"/>
      <c r="D3895" s="309" t="s">
        <v>2894</v>
      </c>
      <c r="E3895" s="305">
        <v>3500000000</v>
      </c>
      <c r="F3895" s="307">
        <f>954750000+101700000+131790000+165900000+1480500000+204050000+50000000+403000000</f>
        <v>3491690000</v>
      </c>
      <c r="G3895" s="373">
        <f t="shared" si="235"/>
        <v>99.762571428571434</v>
      </c>
      <c r="H3895" s="373">
        <v>100</v>
      </c>
      <c r="I3895" s="111"/>
    </row>
    <row r="3896" spans="1:9" s="115" customFormat="1" ht="16.5" hidden="1" customHeight="1" x14ac:dyDescent="0.2">
      <c r="A3896" s="171"/>
      <c r="B3896" s="171"/>
      <c r="C3896" s="222"/>
      <c r="D3896" s="308" t="s">
        <v>2895</v>
      </c>
      <c r="E3896" s="304">
        <v>802152750</v>
      </c>
      <c r="F3896" s="304">
        <f>F3897</f>
        <v>801900750</v>
      </c>
      <c r="G3896" s="372">
        <f t="shared" si="235"/>
        <v>99.968584537047349</v>
      </c>
      <c r="H3896" s="372">
        <v>100</v>
      </c>
      <c r="I3896" s="121"/>
    </row>
    <row r="3897" spans="1:9" ht="16.5" hidden="1" customHeight="1" x14ac:dyDescent="0.2">
      <c r="A3897" s="170"/>
      <c r="B3897" s="170"/>
      <c r="C3897" s="222"/>
      <c r="D3897" s="309" t="s">
        <v>2896</v>
      </c>
      <c r="E3897" s="305">
        <v>802152750</v>
      </c>
      <c r="F3897" s="305">
        <f>212152750+179748000+410000000</f>
        <v>801900750</v>
      </c>
      <c r="G3897" s="373">
        <f t="shared" si="235"/>
        <v>99.968584537047349</v>
      </c>
      <c r="H3897" s="373">
        <v>100</v>
      </c>
      <c r="I3897" s="111"/>
    </row>
    <row r="3898" spans="1:9" ht="16.5" hidden="1" customHeight="1" x14ac:dyDescent="0.2">
      <c r="A3898" s="170"/>
      <c r="B3898" s="170"/>
      <c r="C3898" s="222"/>
      <c r="D3898" s="309"/>
      <c r="E3898" s="305"/>
      <c r="F3898" s="305"/>
      <c r="G3898" s="373"/>
      <c r="H3898" s="373"/>
      <c r="I3898" s="111"/>
    </row>
    <row r="3899" spans="1:9" s="115" customFormat="1" ht="16.5" hidden="1" customHeight="1" x14ac:dyDescent="0.2">
      <c r="A3899" s="171"/>
      <c r="B3899" s="171"/>
      <c r="C3899" s="222"/>
      <c r="D3899" s="308" t="s">
        <v>1432</v>
      </c>
      <c r="E3899" s="306">
        <v>800000000</v>
      </c>
      <c r="F3899" s="304">
        <v>800000000</v>
      </c>
      <c r="G3899" s="372">
        <v>100</v>
      </c>
      <c r="H3899" s="372">
        <v>100</v>
      </c>
      <c r="I3899" s="121"/>
    </row>
    <row r="3900" spans="1:9" s="115" customFormat="1" ht="16.5" hidden="1" customHeight="1" x14ac:dyDescent="0.2">
      <c r="A3900" s="171"/>
      <c r="B3900" s="171"/>
      <c r="C3900" s="222"/>
      <c r="D3900" s="308" t="s">
        <v>496</v>
      </c>
      <c r="E3900" s="304">
        <v>800000000</v>
      </c>
      <c r="F3900" s="304">
        <v>800000000</v>
      </c>
      <c r="G3900" s="372">
        <v>100</v>
      </c>
      <c r="H3900" s="372">
        <v>100</v>
      </c>
      <c r="I3900" s="121"/>
    </row>
    <row r="3901" spans="1:9" ht="16.5" hidden="1" customHeight="1" x14ac:dyDescent="0.2">
      <c r="A3901" s="170"/>
      <c r="B3901" s="170"/>
      <c r="C3901" s="222"/>
      <c r="D3901" s="309" t="s">
        <v>498</v>
      </c>
      <c r="E3901" s="305">
        <v>800000000</v>
      </c>
      <c r="F3901" s="305">
        <f>210020000+390000000+199980000</f>
        <v>800000000</v>
      </c>
      <c r="G3901" s="373">
        <v>100</v>
      </c>
      <c r="H3901" s="373">
        <v>100</v>
      </c>
      <c r="I3901" s="111"/>
    </row>
    <row r="3902" spans="1:9" ht="16.5" hidden="1" customHeight="1" x14ac:dyDescent="0.2">
      <c r="A3902" s="170"/>
      <c r="B3902" s="170"/>
      <c r="C3902" s="222"/>
      <c r="D3902" s="309"/>
      <c r="E3902" s="305"/>
      <c r="F3902" s="305"/>
      <c r="G3902" s="373"/>
      <c r="H3902" s="373"/>
      <c r="I3902" s="111"/>
    </row>
    <row r="3903" spans="1:9" s="115" customFormat="1" ht="16.5" hidden="1" customHeight="1" x14ac:dyDescent="0.2">
      <c r="A3903" s="171"/>
      <c r="B3903" s="171"/>
      <c r="C3903" s="222"/>
      <c r="D3903" s="308" t="s">
        <v>2897</v>
      </c>
      <c r="E3903" s="306">
        <f>E3904</f>
        <v>3300000000</v>
      </c>
      <c r="F3903" s="304">
        <f>F3904</f>
        <v>3040000000</v>
      </c>
      <c r="G3903" s="372">
        <f t="shared" ref="G3903:G3918" si="236">F3903/E3903*100</f>
        <v>92.121212121212125</v>
      </c>
      <c r="H3903" s="372">
        <v>100</v>
      </c>
      <c r="I3903" s="121"/>
    </row>
    <row r="3904" spans="1:9" s="115" customFormat="1" ht="16.5" hidden="1" customHeight="1" x14ac:dyDescent="0.2">
      <c r="A3904" s="171"/>
      <c r="B3904" s="171"/>
      <c r="C3904" s="222"/>
      <c r="D3904" s="308" t="s">
        <v>2898</v>
      </c>
      <c r="E3904" s="306">
        <f>SUM(E3905:E3908)</f>
        <v>3300000000</v>
      </c>
      <c r="F3904" s="304">
        <f>SUM(F3905:F3908)</f>
        <v>3040000000</v>
      </c>
      <c r="G3904" s="372">
        <f t="shared" si="236"/>
        <v>92.121212121212125</v>
      </c>
      <c r="H3904" s="372">
        <v>100</v>
      </c>
      <c r="I3904" s="121"/>
    </row>
    <row r="3905" spans="1:9" ht="16.5" hidden="1" customHeight="1" x14ac:dyDescent="0.2">
      <c r="A3905" s="170"/>
      <c r="B3905" s="170"/>
      <c r="C3905" s="222"/>
      <c r="D3905" s="309" t="s">
        <v>2899</v>
      </c>
      <c r="E3905" s="307">
        <v>850000000</v>
      </c>
      <c r="F3905" s="305">
        <f>220000000+390000000+240000000</f>
        <v>850000000</v>
      </c>
      <c r="G3905" s="373">
        <f t="shared" si="236"/>
        <v>100</v>
      </c>
      <c r="H3905" s="373">
        <v>100</v>
      </c>
      <c r="I3905" s="111"/>
    </row>
    <row r="3906" spans="1:9" ht="16.5" hidden="1" customHeight="1" x14ac:dyDescent="0.2">
      <c r="A3906" s="170"/>
      <c r="B3906" s="170"/>
      <c r="C3906" s="222"/>
      <c r="D3906" s="309" t="s">
        <v>2596</v>
      </c>
      <c r="E3906" s="305">
        <v>2000000000</v>
      </c>
      <c r="F3906" s="305">
        <f>266000000+266000000+120000000+428000000+144000000+288000000+144000000+144000000</f>
        <v>1800000000</v>
      </c>
      <c r="G3906" s="373">
        <f t="shared" si="236"/>
        <v>90</v>
      </c>
      <c r="H3906" s="373">
        <v>100</v>
      </c>
      <c r="I3906" s="111"/>
    </row>
    <row r="3907" spans="1:9" ht="16.5" hidden="1" customHeight="1" x14ac:dyDescent="0.2">
      <c r="A3907" s="170"/>
      <c r="B3907" s="170"/>
      <c r="C3907" s="222"/>
      <c r="D3907" s="309" t="s">
        <v>2900</v>
      </c>
      <c r="E3907" s="305">
        <v>100000000</v>
      </c>
      <c r="F3907" s="305">
        <f>+E3907</f>
        <v>100000000</v>
      </c>
      <c r="G3907" s="373">
        <f t="shared" si="236"/>
        <v>100</v>
      </c>
      <c r="H3907" s="373">
        <v>100</v>
      </c>
      <c r="I3907" s="111"/>
    </row>
    <row r="3908" spans="1:9" ht="16.5" hidden="1" customHeight="1" x14ac:dyDescent="0.2">
      <c r="A3908" s="170"/>
      <c r="B3908" s="170"/>
      <c r="C3908" s="222"/>
      <c r="D3908" s="309" t="s">
        <v>1317</v>
      </c>
      <c r="E3908" s="305">
        <v>350000000</v>
      </c>
      <c r="F3908" s="305">
        <f>170000000+120000000</f>
        <v>290000000</v>
      </c>
      <c r="G3908" s="373">
        <f t="shared" si="236"/>
        <v>82.857142857142861</v>
      </c>
      <c r="H3908" s="373">
        <v>100</v>
      </c>
      <c r="I3908" s="111"/>
    </row>
    <row r="3909" spans="1:9" ht="16.5" hidden="1" customHeight="1" x14ac:dyDescent="0.2">
      <c r="A3909" s="170"/>
      <c r="B3909" s="170"/>
      <c r="C3909" s="222"/>
      <c r="D3909" s="309"/>
      <c r="E3909" s="305"/>
      <c r="F3909" s="305"/>
      <c r="G3909" s="373"/>
      <c r="H3909" s="373"/>
      <c r="I3909" s="111"/>
    </row>
    <row r="3910" spans="1:9" s="115" customFormat="1" ht="16.5" hidden="1" customHeight="1" x14ac:dyDescent="0.2">
      <c r="A3910" s="171"/>
      <c r="B3910" s="171"/>
      <c r="C3910" s="222"/>
      <c r="D3910" s="308" t="s">
        <v>2901</v>
      </c>
      <c r="E3910" s="306">
        <f>E3911+E3913</f>
        <v>1350000000</v>
      </c>
      <c r="F3910" s="304">
        <f>F3911+F3913</f>
        <v>1344900000</v>
      </c>
      <c r="G3910" s="372">
        <f t="shared" si="236"/>
        <v>99.62222222222222</v>
      </c>
      <c r="H3910" s="372">
        <v>100</v>
      </c>
      <c r="I3910" s="121"/>
    </row>
    <row r="3911" spans="1:9" s="115" customFormat="1" ht="16.5" hidden="1" customHeight="1" x14ac:dyDescent="0.2">
      <c r="A3911" s="171"/>
      <c r="B3911" s="171"/>
      <c r="C3911" s="222"/>
      <c r="D3911" s="308" t="s">
        <v>2902</v>
      </c>
      <c r="E3911" s="304">
        <v>850000000</v>
      </c>
      <c r="F3911" s="304">
        <f>F3912</f>
        <v>844900000</v>
      </c>
      <c r="G3911" s="372">
        <f t="shared" si="236"/>
        <v>99.4</v>
      </c>
      <c r="H3911" s="372">
        <v>100</v>
      </c>
      <c r="I3911" s="121"/>
    </row>
    <row r="3912" spans="1:9" ht="16.5" hidden="1" customHeight="1" x14ac:dyDescent="0.2">
      <c r="A3912" s="170"/>
      <c r="B3912" s="170"/>
      <c r="C3912" s="222"/>
      <c r="D3912" s="309" t="s">
        <v>1101</v>
      </c>
      <c r="E3912" s="305">
        <v>850000000</v>
      </c>
      <c r="F3912" s="305">
        <v>844900000</v>
      </c>
      <c r="G3912" s="373">
        <f t="shared" si="236"/>
        <v>99.4</v>
      </c>
      <c r="H3912" s="373">
        <v>100</v>
      </c>
      <c r="I3912" s="111"/>
    </row>
    <row r="3913" spans="1:9" s="115" customFormat="1" ht="16.5" hidden="1" customHeight="1" x14ac:dyDescent="0.2">
      <c r="A3913" s="171"/>
      <c r="B3913" s="171"/>
      <c r="C3913" s="222"/>
      <c r="D3913" s="308" t="s">
        <v>370</v>
      </c>
      <c r="E3913" s="304">
        <v>500000000</v>
      </c>
      <c r="F3913" s="304">
        <v>500000000</v>
      </c>
      <c r="G3913" s="372">
        <f t="shared" si="236"/>
        <v>100</v>
      </c>
      <c r="H3913" s="372">
        <v>100</v>
      </c>
      <c r="I3913" s="121"/>
    </row>
    <row r="3914" spans="1:9" ht="16.5" hidden="1" customHeight="1" x14ac:dyDescent="0.2">
      <c r="A3914" s="170"/>
      <c r="B3914" s="170"/>
      <c r="C3914" s="222"/>
      <c r="D3914" s="309" t="s">
        <v>2903</v>
      </c>
      <c r="E3914" s="305">
        <v>500000000</v>
      </c>
      <c r="F3914" s="305">
        <v>500000000</v>
      </c>
      <c r="G3914" s="373">
        <f t="shared" si="236"/>
        <v>100</v>
      </c>
      <c r="H3914" s="373">
        <v>100</v>
      </c>
      <c r="I3914" s="111"/>
    </row>
    <row r="3915" spans="1:9" ht="16.5" hidden="1" customHeight="1" x14ac:dyDescent="0.2">
      <c r="A3915" s="170"/>
      <c r="B3915" s="170"/>
      <c r="C3915" s="222"/>
      <c r="D3915" s="309"/>
      <c r="E3915" s="305"/>
      <c r="F3915" s="305"/>
      <c r="G3915" s="373"/>
      <c r="H3915" s="373"/>
      <c r="I3915" s="111"/>
    </row>
    <row r="3916" spans="1:9" s="115" customFormat="1" ht="16.5" hidden="1" customHeight="1" x14ac:dyDescent="0.2">
      <c r="A3916" s="171"/>
      <c r="B3916" s="171"/>
      <c r="C3916" s="222"/>
      <c r="D3916" s="308" t="s">
        <v>2879</v>
      </c>
      <c r="E3916" s="304">
        <v>15000000000</v>
      </c>
      <c r="F3916" s="304">
        <v>15000000000</v>
      </c>
      <c r="G3916" s="372">
        <f t="shared" si="236"/>
        <v>100</v>
      </c>
      <c r="H3916" s="372">
        <v>100</v>
      </c>
      <c r="I3916" s="121"/>
    </row>
    <row r="3917" spans="1:9" ht="18.75" hidden="1" customHeight="1" x14ac:dyDescent="0.2">
      <c r="A3917" s="170"/>
      <c r="B3917" s="170"/>
      <c r="C3917" s="222"/>
      <c r="D3917" s="309" t="s">
        <v>2904</v>
      </c>
      <c r="E3917" s="305">
        <v>15000000000</v>
      </c>
      <c r="F3917" s="305">
        <v>15000000000</v>
      </c>
      <c r="G3917" s="373">
        <f t="shared" si="236"/>
        <v>100</v>
      </c>
      <c r="H3917" s="373">
        <v>100</v>
      </c>
      <c r="I3917" s="111"/>
    </row>
    <row r="3918" spans="1:9" ht="16.5" hidden="1" customHeight="1" x14ac:dyDescent="0.2">
      <c r="A3918" s="170"/>
      <c r="B3918" s="170"/>
      <c r="C3918" s="222"/>
      <c r="D3918" s="309" t="s">
        <v>2905</v>
      </c>
      <c r="E3918" s="305">
        <v>15000000000</v>
      </c>
      <c r="F3918" s="305">
        <v>15000000000</v>
      </c>
      <c r="G3918" s="373">
        <f t="shared" si="236"/>
        <v>100</v>
      </c>
      <c r="H3918" s="373">
        <v>100</v>
      </c>
      <c r="I3918" s="111"/>
    </row>
    <row r="3919" spans="1:9" ht="16.5" hidden="1" customHeight="1" x14ac:dyDescent="0.2">
      <c r="A3919" s="170"/>
      <c r="B3919" s="170"/>
      <c r="C3919" s="222"/>
      <c r="D3919" s="309"/>
      <c r="E3919" s="305"/>
      <c r="F3919" s="305"/>
      <c r="G3919" s="373"/>
      <c r="H3919" s="373"/>
      <c r="I3919" s="111"/>
    </row>
    <row r="3920" spans="1:9" s="115" customFormat="1" ht="16.5" hidden="1" customHeight="1" x14ac:dyDescent="0.25">
      <c r="A3920" s="171"/>
      <c r="B3920" s="171"/>
      <c r="C3920" s="222"/>
      <c r="D3920" s="312" t="s">
        <v>2906</v>
      </c>
      <c r="E3920" s="313">
        <f>E3921+E3923</f>
        <v>1216172220</v>
      </c>
      <c r="F3920" s="313">
        <f>F3921+F3923</f>
        <v>1216172220</v>
      </c>
      <c r="G3920" s="374">
        <v>100</v>
      </c>
      <c r="H3920" s="374">
        <v>100</v>
      </c>
      <c r="I3920" s="121"/>
    </row>
    <row r="3921" spans="1:9" s="115" customFormat="1" ht="16.5" hidden="1" customHeight="1" x14ac:dyDescent="0.25">
      <c r="A3921" s="171"/>
      <c r="B3921" s="171"/>
      <c r="C3921" s="222"/>
      <c r="D3921" s="312" t="s">
        <v>2907</v>
      </c>
      <c r="E3921" s="313">
        <v>716172220</v>
      </c>
      <c r="F3921" s="313">
        <v>716172220</v>
      </c>
      <c r="G3921" s="374">
        <v>100</v>
      </c>
      <c r="H3921" s="374">
        <v>100</v>
      </c>
      <c r="I3921" s="121"/>
    </row>
    <row r="3922" spans="1:9" ht="16.5" hidden="1" customHeight="1" x14ac:dyDescent="0.25">
      <c r="A3922" s="170"/>
      <c r="B3922" s="170"/>
      <c r="C3922" s="222"/>
      <c r="D3922" s="314" t="s">
        <v>2908</v>
      </c>
      <c r="E3922" s="315">
        <v>716172220</v>
      </c>
      <c r="F3922" s="315">
        <v>716172220</v>
      </c>
      <c r="G3922" s="375">
        <v>100</v>
      </c>
      <c r="H3922" s="375">
        <v>100</v>
      </c>
      <c r="I3922" s="111"/>
    </row>
    <row r="3923" spans="1:9" s="115" customFormat="1" ht="16.5" hidden="1" customHeight="1" x14ac:dyDescent="0.25">
      <c r="A3923" s="171"/>
      <c r="B3923" s="171"/>
      <c r="C3923" s="222"/>
      <c r="D3923" s="312" t="s">
        <v>2909</v>
      </c>
      <c r="E3923" s="313">
        <v>500000000</v>
      </c>
      <c r="F3923" s="313">
        <v>500000000</v>
      </c>
      <c r="G3923" s="374">
        <v>100</v>
      </c>
      <c r="H3923" s="374">
        <v>100</v>
      </c>
      <c r="I3923" s="121"/>
    </row>
    <row r="3924" spans="1:9" ht="16.5" hidden="1" customHeight="1" x14ac:dyDescent="0.25">
      <c r="A3924" s="170"/>
      <c r="B3924" s="170"/>
      <c r="C3924" s="222"/>
      <c r="D3924" s="303" t="s">
        <v>2910</v>
      </c>
      <c r="E3924" s="301">
        <v>500000000</v>
      </c>
      <c r="F3924" s="301">
        <v>500000000</v>
      </c>
      <c r="G3924" s="375">
        <v>100</v>
      </c>
      <c r="H3924" s="375">
        <v>100</v>
      </c>
      <c r="I3924" s="111"/>
    </row>
    <row r="3925" spans="1:9" ht="16.5" hidden="1" customHeight="1" x14ac:dyDescent="0.2">
      <c r="A3925" s="170"/>
      <c r="B3925" s="170"/>
      <c r="C3925" s="222"/>
      <c r="D3925" s="309"/>
      <c r="E3925" s="305"/>
      <c r="F3925" s="305"/>
      <c r="G3925" s="373"/>
      <c r="H3925" s="373"/>
      <c r="I3925" s="111"/>
    </row>
    <row r="3926" spans="1:9" s="115" customFormat="1" ht="16.5" hidden="1" customHeight="1" x14ac:dyDescent="0.2">
      <c r="A3926" s="171"/>
      <c r="B3926" s="171"/>
      <c r="C3926" s="222"/>
      <c r="D3926" s="308" t="s">
        <v>2911</v>
      </c>
      <c r="E3926" s="304">
        <v>20161722178</v>
      </c>
      <c r="F3926" s="304">
        <v>19231850000</v>
      </c>
      <c r="G3926" s="357">
        <f>F3926/E3926*100</f>
        <v>95.38793278773251</v>
      </c>
      <c r="H3926" s="372">
        <v>100</v>
      </c>
      <c r="I3926" s="121"/>
    </row>
    <row r="3927" spans="1:9" s="115" customFormat="1" ht="16.5" hidden="1" customHeight="1" x14ac:dyDescent="0.2">
      <c r="A3927" s="171"/>
      <c r="B3927" s="171"/>
      <c r="C3927" s="222"/>
      <c r="D3927" s="308" t="s">
        <v>729</v>
      </c>
      <c r="E3927" s="304">
        <v>20161722178</v>
      </c>
      <c r="F3927" s="304">
        <v>19231850000</v>
      </c>
      <c r="G3927" s="357">
        <f>F3927/E3927*100</f>
        <v>95.38793278773251</v>
      </c>
      <c r="H3927" s="372">
        <v>100</v>
      </c>
      <c r="I3927" s="121"/>
    </row>
    <row r="3928" spans="1:9" ht="16.5" hidden="1" customHeight="1" x14ac:dyDescent="0.2">
      <c r="A3928" s="170"/>
      <c r="B3928" s="170"/>
      <c r="C3928" s="222"/>
      <c r="D3928" s="309" t="s">
        <v>2912</v>
      </c>
      <c r="E3928" s="305">
        <v>20161722178</v>
      </c>
      <c r="F3928" s="305">
        <v>19231850000</v>
      </c>
      <c r="G3928" s="358">
        <f>F3928/E3928*100</f>
        <v>95.38793278773251</v>
      </c>
      <c r="H3928" s="373">
        <v>100</v>
      </c>
      <c r="I3928" s="111"/>
    </row>
    <row r="3929" spans="1:9" ht="16.5" hidden="1" customHeight="1" x14ac:dyDescent="0.2">
      <c r="A3929" s="170"/>
      <c r="B3929" s="170"/>
      <c r="C3929" s="222"/>
      <c r="D3929" s="309"/>
      <c r="E3929" s="305"/>
      <c r="F3929" s="305"/>
      <c r="G3929" s="373"/>
      <c r="H3929" s="373"/>
      <c r="I3929" s="111"/>
    </row>
    <row r="3930" spans="1:9" s="115" customFormat="1" ht="18.75" hidden="1" customHeight="1" x14ac:dyDescent="0.25">
      <c r="A3930" s="171"/>
      <c r="B3930" s="171"/>
      <c r="C3930" s="222"/>
      <c r="D3930" s="316" t="s">
        <v>2612</v>
      </c>
      <c r="E3930" s="317">
        <f>+E3931+E3933</f>
        <v>3348516682</v>
      </c>
      <c r="F3930" s="318">
        <f>F3931+F3933</f>
        <v>3256602315</v>
      </c>
      <c r="G3930" s="376">
        <f t="shared" ref="G3930:G3938" si="237">F3930/E3930*100</f>
        <v>97.255072148988035</v>
      </c>
      <c r="H3930" s="376">
        <v>100</v>
      </c>
      <c r="I3930" s="121"/>
    </row>
    <row r="3931" spans="1:9" s="115" customFormat="1" ht="18.75" hidden="1" customHeight="1" x14ac:dyDescent="0.25">
      <c r="A3931" s="171"/>
      <c r="B3931" s="171"/>
      <c r="C3931" s="222"/>
      <c r="D3931" s="311" t="s">
        <v>343</v>
      </c>
      <c r="E3931" s="319">
        <v>500000000</v>
      </c>
      <c r="F3931" s="318">
        <f>F3932</f>
        <v>500000000</v>
      </c>
      <c r="G3931" s="376">
        <f t="shared" si="237"/>
        <v>100</v>
      </c>
      <c r="H3931" s="376">
        <v>100</v>
      </c>
      <c r="I3931" s="121"/>
    </row>
    <row r="3932" spans="1:9" ht="16.5" hidden="1" customHeight="1" x14ac:dyDescent="0.25">
      <c r="A3932" s="170"/>
      <c r="B3932" s="170"/>
      <c r="C3932" s="222"/>
      <c r="D3932" s="310" t="s">
        <v>2913</v>
      </c>
      <c r="E3932" s="320">
        <v>500000000</v>
      </c>
      <c r="F3932" s="321">
        <f>500000000</f>
        <v>500000000</v>
      </c>
      <c r="G3932" s="377">
        <f t="shared" si="237"/>
        <v>100</v>
      </c>
      <c r="H3932" s="377">
        <v>100</v>
      </c>
      <c r="I3932" s="111"/>
    </row>
    <row r="3933" spans="1:9" s="115" customFormat="1" ht="16.5" hidden="1" customHeight="1" x14ac:dyDescent="0.25">
      <c r="A3933" s="171"/>
      <c r="B3933" s="171"/>
      <c r="C3933" s="222"/>
      <c r="D3933" s="311" t="s">
        <v>2914</v>
      </c>
      <c r="E3933" s="319">
        <f>SUM(E3934:E3938)</f>
        <v>2848516682</v>
      </c>
      <c r="F3933" s="318">
        <f>SUM(F3934:F3938)</f>
        <v>2756602315</v>
      </c>
      <c r="G3933" s="376">
        <f t="shared" si="237"/>
        <v>96.773255091647741</v>
      </c>
      <c r="H3933" s="376">
        <v>100</v>
      </c>
      <c r="I3933" s="121"/>
    </row>
    <row r="3934" spans="1:9" ht="16.5" hidden="1" customHeight="1" x14ac:dyDescent="0.25">
      <c r="A3934" s="170"/>
      <c r="B3934" s="170"/>
      <c r="C3934" s="222"/>
      <c r="D3934" s="310" t="s">
        <v>2915</v>
      </c>
      <c r="E3934" s="320">
        <v>500000000</v>
      </c>
      <c r="F3934" s="321">
        <v>500000000</v>
      </c>
      <c r="G3934" s="377">
        <f t="shared" si="237"/>
        <v>100</v>
      </c>
      <c r="H3934" s="377">
        <v>100</v>
      </c>
      <c r="I3934" s="111"/>
    </row>
    <row r="3935" spans="1:9" ht="16.5" hidden="1" customHeight="1" x14ac:dyDescent="0.25">
      <c r="A3935" s="170"/>
      <c r="B3935" s="170"/>
      <c r="C3935" s="222"/>
      <c r="D3935" s="310" t="s">
        <v>2916</v>
      </c>
      <c r="E3935" s="320">
        <v>314424597</v>
      </c>
      <c r="F3935" s="321">
        <v>222511000</v>
      </c>
      <c r="G3935" s="377">
        <f t="shared" si="237"/>
        <v>70.767682338796163</v>
      </c>
      <c r="H3935" s="377">
        <v>100</v>
      </c>
      <c r="I3935" s="111"/>
    </row>
    <row r="3936" spans="1:9" ht="16.5" hidden="1" customHeight="1" x14ac:dyDescent="0.25">
      <c r="A3936" s="170"/>
      <c r="B3936" s="170"/>
      <c r="C3936" s="222"/>
      <c r="D3936" s="310" t="s">
        <v>2917</v>
      </c>
      <c r="E3936" s="320">
        <v>300114150</v>
      </c>
      <c r="F3936" s="321">
        <f>300114150</f>
        <v>300114150</v>
      </c>
      <c r="G3936" s="377">
        <f t="shared" si="237"/>
        <v>100</v>
      </c>
      <c r="H3936" s="377">
        <v>100</v>
      </c>
      <c r="I3936" s="111"/>
    </row>
    <row r="3937" spans="1:9" ht="16.5" hidden="1" customHeight="1" x14ac:dyDescent="0.25">
      <c r="A3937" s="170"/>
      <c r="B3937" s="170"/>
      <c r="C3937" s="222"/>
      <c r="D3937" s="310" t="s">
        <v>2918</v>
      </c>
      <c r="E3937" s="320">
        <v>500000770</v>
      </c>
      <c r="F3937" s="321">
        <f>500000000</f>
        <v>500000000</v>
      </c>
      <c r="G3937" s="377">
        <f t="shared" si="237"/>
        <v>99.999846000237156</v>
      </c>
      <c r="H3937" s="377">
        <v>100</v>
      </c>
      <c r="I3937" s="111"/>
    </row>
    <row r="3938" spans="1:9" ht="16.5" hidden="1" customHeight="1" x14ac:dyDescent="0.25">
      <c r="A3938" s="170"/>
      <c r="B3938" s="170"/>
      <c r="C3938" s="222"/>
      <c r="D3938" s="310" t="s">
        <v>2919</v>
      </c>
      <c r="E3938" s="320">
        <v>1233977165</v>
      </c>
      <c r="F3938" s="321">
        <f>1233977165</f>
        <v>1233977165</v>
      </c>
      <c r="G3938" s="377">
        <f t="shared" si="237"/>
        <v>100</v>
      </c>
      <c r="H3938" s="377">
        <v>100</v>
      </c>
      <c r="I3938" s="111"/>
    </row>
    <row r="3939" spans="1:9" s="115" customFormat="1" ht="16.5" hidden="1" customHeight="1" x14ac:dyDescent="0.2">
      <c r="A3939" s="171"/>
      <c r="B3939" s="171"/>
      <c r="C3939" s="222"/>
      <c r="D3939" s="308" t="s">
        <v>1111</v>
      </c>
      <c r="E3939" s="304">
        <v>200000000</v>
      </c>
      <c r="F3939" s="304">
        <v>200000000</v>
      </c>
      <c r="G3939" s="372">
        <v>100</v>
      </c>
      <c r="H3939" s="372">
        <v>100</v>
      </c>
      <c r="I3939" s="121"/>
    </row>
    <row r="3940" spans="1:9" s="115" customFormat="1" ht="16.5" hidden="1" customHeight="1" x14ac:dyDescent="0.2">
      <c r="A3940" s="171"/>
      <c r="B3940" s="171"/>
      <c r="C3940" s="222"/>
      <c r="D3940" s="308" t="s">
        <v>2652</v>
      </c>
      <c r="E3940" s="304">
        <v>200000000</v>
      </c>
      <c r="F3940" s="304">
        <v>200000000</v>
      </c>
      <c r="G3940" s="372">
        <v>100</v>
      </c>
      <c r="H3940" s="372">
        <v>100</v>
      </c>
      <c r="I3940" s="121"/>
    </row>
    <row r="3941" spans="1:9" ht="16.5" hidden="1" customHeight="1" x14ac:dyDescent="0.2">
      <c r="A3941" s="170"/>
      <c r="B3941" s="170"/>
      <c r="C3941" s="222"/>
      <c r="D3941" s="309" t="s">
        <v>2920</v>
      </c>
      <c r="E3941" s="305">
        <v>200000000</v>
      </c>
      <c r="F3941" s="305">
        <v>200000000</v>
      </c>
      <c r="G3941" s="373">
        <v>100</v>
      </c>
      <c r="H3941" s="373">
        <v>100</v>
      </c>
      <c r="I3941" s="111"/>
    </row>
    <row r="3942" spans="1:9" ht="16.5" hidden="1" customHeight="1" x14ac:dyDescent="0.2">
      <c r="A3942" s="170"/>
      <c r="B3942" s="170"/>
      <c r="C3942" s="222"/>
      <c r="D3942" s="309"/>
      <c r="E3942" s="305"/>
      <c r="F3942" s="305"/>
      <c r="G3942" s="373"/>
      <c r="H3942" s="373"/>
      <c r="I3942" s="111"/>
    </row>
    <row r="3943" spans="1:9" s="115" customFormat="1" ht="16.5" hidden="1" customHeight="1" x14ac:dyDescent="0.25">
      <c r="A3943" s="171"/>
      <c r="B3943" s="171"/>
      <c r="C3943" s="222"/>
      <c r="D3943" s="312" t="s">
        <v>2921</v>
      </c>
      <c r="E3943" s="322">
        <f>E3944+E3949</f>
        <v>4516172220</v>
      </c>
      <c r="F3943" s="299">
        <f>F3944+F3949</f>
        <v>4516172220</v>
      </c>
      <c r="G3943" s="356">
        <v>100</v>
      </c>
      <c r="H3943" s="356">
        <v>100</v>
      </c>
      <c r="I3943" s="121"/>
    </row>
    <row r="3944" spans="1:9" s="115" customFormat="1" ht="16.5" hidden="1" customHeight="1" x14ac:dyDescent="0.25">
      <c r="A3944" s="171"/>
      <c r="B3944" s="171"/>
      <c r="C3944" s="222"/>
      <c r="D3944" s="312" t="s">
        <v>1466</v>
      </c>
      <c r="E3944" s="322">
        <f>E3945</f>
        <v>2016172220</v>
      </c>
      <c r="F3944" s="299">
        <f>F3945</f>
        <v>2016172220</v>
      </c>
      <c r="G3944" s="356">
        <v>100</v>
      </c>
      <c r="H3944" s="356">
        <v>100</v>
      </c>
      <c r="I3944" s="121"/>
    </row>
    <row r="3945" spans="1:9" s="115" customFormat="1" ht="16.5" hidden="1" customHeight="1" x14ac:dyDescent="0.25">
      <c r="A3945" s="171"/>
      <c r="B3945" s="171"/>
      <c r="C3945" s="222"/>
      <c r="D3945" s="312" t="s">
        <v>792</v>
      </c>
      <c r="E3945" s="322">
        <f>SUM(E3946:E3948)</f>
        <v>2016172220</v>
      </c>
      <c r="F3945" s="299">
        <f>SUM(F3946:F3948)</f>
        <v>2016172220</v>
      </c>
      <c r="G3945" s="356">
        <v>100</v>
      </c>
      <c r="H3945" s="356">
        <v>100</v>
      </c>
      <c r="I3945" s="121"/>
    </row>
    <row r="3946" spans="1:9" ht="16.5" hidden="1" customHeight="1" x14ac:dyDescent="0.25">
      <c r="A3946" s="170"/>
      <c r="B3946" s="170"/>
      <c r="C3946" s="222"/>
      <c r="D3946" s="314" t="s">
        <v>505</v>
      </c>
      <c r="E3946" s="315">
        <v>1300000000</v>
      </c>
      <c r="F3946" s="302">
        <f>1300000000</f>
        <v>1300000000</v>
      </c>
      <c r="G3946" s="378">
        <v>100</v>
      </c>
      <c r="H3946" s="378">
        <v>100</v>
      </c>
      <c r="I3946" s="111"/>
    </row>
    <row r="3947" spans="1:9" ht="16.5" hidden="1" customHeight="1" x14ac:dyDescent="0.25">
      <c r="A3947" s="170"/>
      <c r="B3947" s="170"/>
      <c r="C3947" s="222"/>
      <c r="D3947" s="314" t="s">
        <v>2922</v>
      </c>
      <c r="E3947" s="315">
        <v>216172220</v>
      </c>
      <c r="F3947" s="302">
        <v>216172220</v>
      </c>
      <c r="G3947" s="378">
        <v>100</v>
      </c>
      <c r="H3947" s="378">
        <v>100</v>
      </c>
      <c r="I3947" s="111"/>
    </row>
    <row r="3948" spans="1:9" ht="16.5" hidden="1" customHeight="1" x14ac:dyDescent="0.25">
      <c r="A3948" s="170"/>
      <c r="B3948" s="170"/>
      <c r="C3948" s="222"/>
      <c r="D3948" s="314" t="s">
        <v>2923</v>
      </c>
      <c r="E3948" s="315">
        <v>500000000</v>
      </c>
      <c r="F3948" s="302">
        <f>500000000</f>
        <v>500000000</v>
      </c>
      <c r="G3948" s="378">
        <v>100</v>
      </c>
      <c r="H3948" s="378">
        <v>100</v>
      </c>
      <c r="I3948" s="111"/>
    </row>
    <row r="3949" spans="1:9" s="115" customFormat="1" ht="16.5" hidden="1" customHeight="1" x14ac:dyDescent="0.25">
      <c r="A3949" s="171"/>
      <c r="B3949" s="171"/>
      <c r="C3949" s="222"/>
      <c r="D3949" s="312" t="s">
        <v>2879</v>
      </c>
      <c r="E3949" s="313">
        <v>2500000000</v>
      </c>
      <c r="F3949" s="299">
        <v>2500000000</v>
      </c>
      <c r="G3949" s="356">
        <v>100</v>
      </c>
      <c r="H3949" s="356">
        <v>100</v>
      </c>
      <c r="I3949" s="121"/>
    </row>
    <row r="3950" spans="1:9" ht="16.5" hidden="1" customHeight="1" x14ac:dyDescent="0.25">
      <c r="A3950" s="170"/>
      <c r="B3950" s="170"/>
      <c r="C3950" s="222"/>
      <c r="D3950" s="314" t="s">
        <v>2924</v>
      </c>
      <c r="E3950" s="315">
        <v>2500000000</v>
      </c>
      <c r="F3950" s="302">
        <v>2500000000</v>
      </c>
      <c r="G3950" s="378">
        <v>100</v>
      </c>
      <c r="H3950" s="378">
        <v>100</v>
      </c>
      <c r="I3950" s="111"/>
    </row>
    <row r="3951" spans="1:9" ht="16.5" hidden="1" customHeight="1" x14ac:dyDescent="0.25">
      <c r="A3951" s="170"/>
      <c r="B3951" s="170"/>
      <c r="C3951" s="222"/>
      <c r="D3951" s="314" t="s">
        <v>2925</v>
      </c>
      <c r="E3951" s="315">
        <v>2500000000</v>
      </c>
      <c r="F3951" s="302">
        <v>2500000000</v>
      </c>
      <c r="G3951" s="378">
        <v>100</v>
      </c>
      <c r="H3951" s="378">
        <v>100</v>
      </c>
      <c r="I3951" s="111"/>
    </row>
    <row r="3952" spans="1:9" ht="16.5" hidden="1" customHeight="1" x14ac:dyDescent="0.25">
      <c r="A3952" s="170"/>
      <c r="B3952" s="170"/>
      <c r="C3952" s="222"/>
      <c r="D3952" s="48"/>
      <c r="E3952" s="116"/>
      <c r="F3952" s="108"/>
      <c r="G3952" s="117"/>
      <c r="H3952" s="117"/>
      <c r="I3952" s="111"/>
    </row>
    <row r="3953" spans="1:9" s="324" customFormat="1" ht="16.5" customHeight="1" x14ac:dyDescent="0.25">
      <c r="A3953" s="323"/>
      <c r="B3953" s="323"/>
      <c r="C3953" s="222" t="s">
        <v>2926</v>
      </c>
      <c r="D3953" s="277" t="s">
        <v>2927</v>
      </c>
      <c r="E3953" s="168">
        <f>+E3954+E4001+E4045+E4059+E4063+E4067+E4073+E4080+E4084+E4098+E4104+E4118+E4124+E4146+E4152+E4179+E4183+E4188+E4194+E4201</f>
        <v>86513444000</v>
      </c>
      <c r="F3953" s="254">
        <f>+F3954+F4001+F4045+F4059+F4063+F4067+F4073+F4080+F4084+F4098+F4104+F4118+F4124+F4146+F4152+F4179+F4183+F4188+F4194+F4201</f>
        <v>70289166698</v>
      </c>
      <c r="G3953" s="114">
        <f>+F3953/E3953*100</f>
        <v>81.246524757470056</v>
      </c>
      <c r="H3953" s="114">
        <f>(H3954+H4001+H4045+H4059+H4063+H4067+H4073+H4080+H4084+H4098+H4104+H4118+H4124+H4146+H4152+H4179+H4183+H4188+H4194+H4201)/20</f>
        <v>67.482772280773602</v>
      </c>
      <c r="I3953" s="121"/>
    </row>
    <row r="3954" spans="1:9" s="115" customFormat="1" ht="16.5" hidden="1" customHeight="1" x14ac:dyDescent="0.25">
      <c r="A3954" s="171"/>
      <c r="B3954" s="171"/>
      <c r="C3954" s="222"/>
      <c r="D3954" s="249" t="s">
        <v>82</v>
      </c>
      <c r="E3954" s="441">
        <f>+E3955+E3964+E3987+E3994+E3996+E3998</f>
        <v>25954033200</v>
      </c>
      <c r="F3954" s="254">
        <f>+F3955+F3964+F3987+F3994+F3996+F3998</f>
        <v>23179551719</v>
      </c>
      <c r="G3954" s="297">
        <f>+F3954/E3954*100</f>
        <v>89.310017985952186</v>
      </c>
      <c r="H3954" s="114">
        <f>(H3955+H3964+H3987+H3994+H3996+H3998)/6</f>
        <v>91.297946412029205</v>
      </c>
      <c r="I3954" s="121"/>
    </row>
    <row r="3955" spans="1:9" s="115" customFormat="1" ht="16.5" hidden="1" customHeight="1" x14ac:dyDescent="0.25">
      <c r="A3955" s="171"/>
      <c r="B3955" s="171"/>
      <c r="C3955" s="222"/>
      <c r="D3955" s="249" t="s">
        <v>797</v>
      </c>
      <c r="E3955" s="441">
        <f>SUM(E3956:E3963)</f>
        <v>5048184000</v>
      </c>
      <c r="F3955" s="283">
        <f>SUM(F3956:F3963)</f>
        <v>4252068833</v>
      </c>
      <c r="G3955" s="297">
        <f>+F3955/E3955*100</f>
        <v>84.229672155373109</v>
      </c>
      <c r="H3955" s="114">
        <f>SUM((H3956:H3963))/8</f>
        <v>83.75</v>
      </c>
      <c r="I3955" s="120"/>
    </row>
    <row r="3956" spans="1:9" ht="16.5" hidden="1" customHeight="1" x14ac:dyDescent="0.25">
      <c r="A3956" s="170"/>
      <c r="B3956" s="170"/>
      <c r="C3956" s="222"/>
      <c r="D3956" s="119" t="s">
        <v>2928</v>
      </c>
      <c r="E3956" s="440">
        <v>200000000</v>
      </c>
      <c r="F3956" s="538">
        <v>200000000</v>
      </c>
      <c r="G3956" s="276">
        <f t="shared" ref="G3956:G3962" si="238">F3956/E3956*100</f>
        <v>100</v>
      </c>
      <c r="H3956" s="114">
        <f>+G3956</f>
        <v>100</v>
      </c>
      <c r="I3956" s="555"/>
    </row>
    <row r="3957" spans="1:9" ht="16.5" hidden="1" customHeight="1" x14ac:dyDescent="0.25">
      <c r="A3957" s="170"/>
      <c r="B3957" s="170"/>
      <c r="C3957" s="222"/>
      <c r="D3957" s="119" t="s">
        <v>2929</v>
      </c>
      <c r="E3957" s="440">
        <v>108980000</v>
      </c>
      <c r="F3957" s="538">
        <v>108880000</v>
      </c>
      <c r="G3957" s="276">
        <f t="shared" si="238"/>
        <v>99.908240044044788</v>
      </c>
      <c r="H3957" s="114">
        <v>100</v>
      </c>
      <c r="I3957" s="555"/>
    </row>
    <row r="3958" spans="1:9" ht="16.5" hidden="1" customHeight="1" x14ac:dyDescent="0.25">
      <c r="A3958" s="170"/>
      <c r="B3958" s="170"/>
      <c r="C3958" s="222"/>
      <c r="D3958" s="119" t="s">
        <v>2930</v>
      </c>
      <c r="E3958" s="440">
        <v>1859160000</v>
      </c>
      <c r="F3958" s="538">
        <v>1438642833</v>
      </c>
      <c r="G3958" s="276">
        <f t="shared" si="238"/>
        <v>77.381335280449235</v>
      </c>
      <c r="H3958" s="114">
        <v>80</v>
      </c>
      <c r="I3958" s="555"/>
    </row>
    <row r="3959" spans="1:9" ht="16.5" hidden="1" customHeight="1" x14ac:dyDescent="0.25">
      <c r="A3959" s="170"/>
      <c r="B3959" s="170"/>
      <c r="C3959" s="222"/>
      <c r="D3959" s="119" t="s">
        <v>2931</v>
      </c>
      <c r="E3959" s="440">
        <v>570000000</v>
      </c>
      <c r="F3959" s="538">
        <v>559200000</v>
      </c>
      <c r="G3959" s="276">
        <f t="shared" si="238"/>
        <v>98.10526315789474</v>
      </c>
      <c r="H3959" s="114">
        <v>100</v>
      </c>
      <c r="I3959" s="555"/>
    </row>
    <row r="3960" spans="1:9" ht="16.5" hidden="1" customHeight="1" x14ac:dyDescent="0.25">
      <c r="A3960" s="170"/>
      <c r="B3960" s="170"/>
      <c r="C3960" s="222"/>
      <c r="D3960" s="119" t="s">
        <v>2932</v>
      </c>
      <c r="E3960" s="440">
        <v>255780000</v>
      </c>
      <c r="F3960" s="538">
        <v>249350000</v>
      </c>
      <c r="G3960" s="276">
        <f t="shared" si="238"/>
        <v>97.486120885135662</v>
      </c>
      <c r="H3960" s="114">
        <v>100</v>
      </c>
      <c r="I3960" s="555"/>
    </row>
    <row r="3961" spans="1:9" ht="16.5" hidden="1" customHeight="1" x14ac:dyDescent="0.25">
      <c r="A3961" s="170"/>
      <c r="B3961" s="170"/>
      <c r="C3961" s="222"/>
      <c r="D3961" s="119" t="s">
        <v>2933</v>
      </c>
      <c r="E3961" s="440">
        <v>790900000</v>
      </c>
      <c r="F3961" s="538">
        <v>697800000</v>
      </c>
      <c r="G3961" s="276">
        <f t="shared" si="238"/>
        <v>88.228600328739418</v>
      </c>
      <c r="H3961" s="114">
        <v>90</v>
      </c>
      <c r="I3961" s="555"/>
    </row>
    <row r="3962" spans="1:9" ht="16.5" hidden="1" customHeight="1" x14ac:dyDescent="0.25">
      <c r="A3962" s="170"/>
      <c r="B3962" s="170"/>
      <c r="C3962" s="222"/>
      <c r="D3962" s="119" t="s">
        <v>2934</v>
      </c>
      <c r="E3962" s="440">
        <v>1000000000</v>
      </c>
      <c r="F3962" s="538">
        <v>998196000</v>
      </c>
      <c r="G3962" s="276">
        <f t="shared" si="238"/>
        <v>99.819599999999994</v>
      </c>
      <c r="H3962" s="114">
        <v>100</v>
      </c>
      <c r="I3962" s="555"/>
    </row>
    <row r="3963" spans="1:9" ht="16.5" hidden="1" customHeight="1" x14ac:dyDescent="0.25">
      <c r="A3963" s="170"/>
      <c r="B3963" s="170"/>
      <c r="C3963" s="222"/>
      <c r="D3963" s="119" t="s">
        <v>2935</v>
      </c>
      <c r="E3963" s="440">
        <v>263364000</v>
      </c>
      <c r="F3963" s="538">
        <v>0</v>
      </c>
      <c r="G3963" s="276"/>
      <c r="H3963" s="114"/>
      <c r="I3963" s="555"/>
    </row>
    <row r="3964" spans="1:9" s="115" customFormat="1" ht="16.5" hidden="1" customHeight="1" x14ac:dyDescent="0.25">
      <c r="A3964" s="171"/>
      <c r="B3964" s="171"/>
      <c r="C3964" s="222"/>
      <c r="D3964" s="249" t="s">
        <v>680</v>
      </c>
      <c r="E3964" s="441">
        <f>SUM(E3965:E3986)</f>
        <v>13435023400</v>
      </c>
      <c r="F3964" s="283">
        <f>SUM(F3965:F3986)</f>
        <v>12189983118</v>
      </c>
      <c r="G3964" s="297">
        <f t="shared" ref="G3964:G3999" si="239">F3964/E3964*100</f>
        <v>90.732875969534959</v>
      </c>
      <c r="H3964" s="114">
        <f>SUM((H3965:H3986))/22</f>
        <v>84.037678472175187</v>
      </c>
      <c r="I3964" s="555"/>
    </row>
    <row r="3965" spans="1:9" ht="16.5" hidden="1" customHeight="1" x14ac:dyDescent="0.25">
      <c r="A3965" s="170"/>
      <c r="B3965" s="170"/>
      <c r="C3965" s="222"/>
      <c r="D3965" s="119" t="s">
        <v>2936</v>
      </c>
      <c r="E3965" s="440">
        <v>293608200</v>
      </c>
      <c r="F3965" s="538">
        <v>99508200</v>
      </c>
      <c r="G3965" s="276">
        <f t="shared" si="239"/>
        <v>33.891492131350553</v>
      </c>
      <c r="H3965" s="114">
        <v>40</v>
      </c>
      <c r="I3965" s="555"/>
    </row>
    <row r="3966" spans="1:9" ht="16.5" hidden="1" customHeight="1" x14ac:dyDescent="0.25">
      <c r="A3966" s="170"/>
      <c r="B3966" s="170"/>
      <c r="C3966" s="222"/>
      <c r="D3966" s="119" t="s">
        <v>2937</v>
      </c>
      <c r="E3966" s="440">
        <v>209000000</v>
      </c>
      <c r="F3966" s="538">
        <v>4000000</v>
      </c>
      <c r="G3966" s="276">
        <f t="shared" si="239"/>
        <v>1.9138755980861244</v>
      </c>
      <c r="H3966" s="114">
        <v>5</v>
      </c>
      <c r="I3966" s="555"/>
    </row>
    <row r="3967" spans="1:9" ht="16.5" hidden="1" customHeight="1" x14ac:dyDescent="0.25">
      <c r="A3967" s="170"/>
      <c r="B3967" s="170"/>
      <c r="C3967" s="222"/>
      <c r="D3967" s="119" t="s">
        <v>2938</v>
      </c>
      <c r="E3967" s="440">
        <v>200000000</v>
      </c>
      <c r="F3967" s="538">
        <v>3200000</v>
      </c>
      <c r="G3967" s="276">
        <f t="shared" si="239"/>
        <v>1.6</v>
      </c>
      <c r="H3967" s="114">
        <v>5</v>
      </c>
      <c r="I3967" s="555"/>
    </row>
    <row r="3968" spans="1:9" ht="16.5" hidden="1" customHeight="1" x14ac:dyDescent="0.25">
      <c r="A3968" s="170"/>
      <c r="B3968" s="170"/>
      <c r="C3968" s="222"/>
      <c r="D3968" s="119" t="s">
        <v>2939</v>
      </c>
      <c r="E3968" s="440">
        <v>290750000</v>
      </c>
      <c r="F3968" s="538">
        <v>290745000</v>
      </c>
      <c r="G3968" s="276">
        <f t="shared" si="239"/>
        <v>99.998280309544285</v>
      </c>
      <c r="H3968" s="114">
        <f>+G3968</f>
        <v>99.998280309544285</v>
      </c>
      <c r="I3968" s="555"/>
    </row>
    <row r="3969" spans="1:9" ht="16.5" hidden="1" customHeight="1" x14ac:dyDescent="0.25">
      <c r="A3969" s="170"/>
      <c r="B3969" s="170"/>
      <c r="C3969" s="222"/>
      <c r="D3969" s="119" t="s">
        <v>2940</v>
      </c>
      <c r="E3969" s="440">
        <v>1063800000</v>
      </c>
      <c r="F3969" s="538">
        <v>1042000000</v>
      </c>
      <c r="G3969" s="276">
        <f t="shared" si="239"/>
        <v>97.950742620793392</v>
      </c>
      <c r="H3969" s="114">
        <v>100</v>
      </c>
      <c r="I3969" s="555"/>
    </row>
    <row r="3970" spans="1:9" ht="16.5" hidden="1" customHeight="1" x14ac:dyDescent="0.25">
      <c r="A3970" s="170"/>
      <c r="B3970" s="170"/>
      <c r="C3970" s="222"/>
      <c r="D3970" s="119" t="s">
        <v>2941</v>
      </c>
      <c r="E3970" s="440">
        <v>247750000</v>
      </c>
      <c r="F3970" s="538">
        <v>245335000</v>
      </c>
      <c r="G3970" s="276">
        <f t="shared" si="239"/>
        <v>99.025227043390515</v>
      </c>
      <c r="H3970" s="114">
        <v>100</v>
      </c>
      <c r="I3970" s="555"/>
    </row>
    <row r="3971" spans="1:9" ht="16.5" hidden="1" customHeight="1" x14ac:dyDescent="0.25">
      <c r="A3971" s="170"/>
      <c r="B3971" s="170"/>
      <c r="C3971" s="222"/>
      <c r="D3971" s="119" t="s">
        <v>2942</v>
      </c>
      <c r="E3971" s="440">
        <v>889500000</v>
      </c>
      <c r="F3971" s="538">
        <v>878403568</v>
      </c>
      <c r="G3971" s="276">
        <f t="shared" si="239"/>
        <v>98.75250905002811</v>
      </c>
      <c r="H3971" s="114">
        <v>100</v>
      </c>
      <c r="I3971" s="555"/>
    </row>
    <row r="3972" spans="1:9" ht="16.5" hidden="1" customHeight="1" x14ac:dyDescent="0.25">
      <c r="A3972" s="170"/>
      <c r="B3972" s="170"/>
      <c r="C3972" s="222"/>
      <c r="D3972" s="119" t="s">
        <v>2943</v>
      </c>
      <c r="E3972" s="440">
        <v>2275000000</v>
      </c>
      <c r="F3972" s="555">
        <v>2250750000</v>
      </c>
      <c r="G3972" s="276">
        <f t="shared" si="239"/>
        <v>98.934065934065927</v>
      </c>
      <c r="H3972" s="114">
        <v>100</v>
      </c>
      <c r="I3972" s="555"/>
    </row>
    <row r="3973" spans="1:9" ht="16.5" hidden="1" customHeight="1" x14ac:dyDescent="0.25">
      <c r="A3973" s="170"/>
      <c r="B3973" s="170"/>
      <c r="C3973" s="222"/>
      <c r="D3973" s="119" t="s">
        <v>2944</v>
      </c>
      <c r="E3973" s="440">
        <v>258330000</v>
      </c>
      <c r="F3973" s="538">
        <v>131170000</v>
      </c>
      <c r="G3973" s="276">
        <f t="shared" si="239"/>
        <v>50.77613904695545</v>
      </c>
      <c r="H3973" s="114">
        <v>55</v>
      </c>
      <c r="I3973" s="555"/>
    </row>
    <row r="3974" spans="1:9" ht="16.5" hidden="1" customHeight="1" x14ac:dyDescent="0.25">
      <c r="A3974" s="170"/>
      <c r="B3974" s="170"/>
      <c r="C3974" s="222"/>
      <c r="D3974" s="119" t="s">
        <v>2945</v>
      </c>
      <c r="E3974" s="440">
        <v>1000000000</v>
      </c>
      <c r="F3974" s="538">
        <v>617020000</v>
      </c>
      <c r="G3974" s="276">
        <f t="shared" si="239"/>
        <v>61.701999999999998</v>
      </c>
      <c r="H3974" s="114">
        <v>65</v>
      </c>
      <c r="I3974" s="555"/>
    </row>
    <row r="3975" spans="1:9" ht="16.5" hidden="1" customHeight="1" x14ac:dyDescent="0.25">
      <c r="A3975" s="170"/>
      <c r="B3975" s="170"/>
      <c r="C3975" s="222"/>
      <c r="D3975" s="119" t="s">
        <v>2946</v>
      </c>
      <c r="E3975" s="440">
        <v>458120000</v>
      </c>
      <c r="F3975" s="555">
        <v>455240000</v>
      </c>
      <c r="G3975" s="276">
        <f t="shared" si="239"/>
        <v>99.371343752728549</v>
      </c>
      <c r="H3975" s="114">
        <f t="shared" ref="H3975:H4016" si="240">+G3975</f>
        <v>99.371343752728549</v>
      </c>
      <c r="I3975" s="555"/>
    </row>
    <row r="3976" spans="1:9" ht="16.5" hidden="1" customHeight="1" x14ac:dyDescent="0.25">
      <c r="A3976" s="170"/>
      <c r="B3976" s="170"/>
      <c r="C3976" s="222"/>
      <c r="D3976" s="119" t="s">
        <v>2947</v>
      </c>
      <c r="E3976" s="440">
        <v>430000000</v>
      </c>
      <c r="F3976" s="555">
        <v>427675000</v>
      </c>
      <c r="G3976" s="276">
        <f t="shared" si="239"/>
        <v>99.459302325581405</v>
      </c>
      <c r="H3976" s="114">
        <f t="shared" si="240"/>
        <v>99.459302325581405</v>
      </c>
      <c r="I3976" s="555"/>
    </row>
    <row r="3977" spans="1:9" ht="16.5" hidden="1" customHeight="1" x14ac:dyDescent="0.25">
      <c r="A3977" s="170"/>
      <c r="B3977" s="170"/>
      <c r="C3977" s="222"/>
      <c r="D3977" s="119" t="s">
        <v>2948</v>
      </c>
      <c r="E3977" s="440">
        <v>1485000000</v>
      </c>
      <c r="F3977" s="538">
        <v>1485000000</v>
      </c>
      <c r="G3977" s="276">
        <f t="shared" si="239"/>
        <v>100</v>
      </c>
      <c r="H3977" s="114">
        <f t="shared" si="240"/>
        <v>100</v>
      </c>
      <c r="I3977" s="555"/>
    </row>
    <row r="3978" spans="1:9" ht="16.5" hidden="1" customHeight="1" x14ac:dyDescent="0.25">
      <c r="A3978" s="170"/>
      <c r="B3978" s="170"/>
      <c r="C3978" s="222"/>
      <c r="D3978" s="119" t="s">
        <v>2949</v>
      </c>
      <c r="E3978" s="440">
        <v>1500000000</v>
      </c>
      <c r="F3978" s="538">
        <v>1500000000</v>
      </c>
      <c r="G3978" s="276">
        <f t="shared" si="239"/>
        <v>100</v>
      </c>
      <c r="H3978" s="114">
        <f t="shared" si="240"/>
        <v>100</v>
      </c>
      <c r="I3978" s="555"/>
    </row>
    <row r="3979" spans="1:9" ht="16.5" hidden="1" customHeight="1" x14ac:dyDescent="0.25">
      <c r="A3979" s="170"/>
      <c r="B3979" s="170"/>
      <c r="C3979" s="222"/>
      <c r="D3979" s="119" t="s">
        <v>2950</v>
      </c>
      <c r="E3979" s="440">
        <v>192500000</v>
      </c>
      <c r="F3979" s="538">
        <v>189670000</v>
      </c>
      <c r="G3979" s="276">
        <f t="shared" si="239"/>
        <v>98.529870129870133</v>
      </c>
      <c r="H3979" s="114">
        <v>100</v>
      </c>
      <c r="I3979" s="555"/>
    </row>
    <row r="3980" spans="1:9" ht="16.5" hidden="1" customHeight="1" x14ac:dyDescent="0.25">
      <c r="A3980" s="170"/>
      <c r="B3980" s="170"/>
      <c r="C3980" s="222"/>
      <c r="D3980" s="119" t="s">
        <v>2951</v>
      </c>
      <c r="E3980" s="440">
        <v>101650000</v>
      </c>
      <c r="F3980" s="538">
        <v>101650000</v>
      </c>
      <c r="G3980" s="276">
        <f t="shared" si="239"/>
        <v>100</v>
      </c>
      <c r="H3980" s="114">
        <f t="shared" si="240"/>
        <v>100</v>
      </c>
      <c r="I3980" s="555"/>
    </row>
    <row r="3981" spans="1:9" ht="16.5" hidden="1" customHeight="1" x14ac:dyDescent="0.25">
      <c r="A3981" s="170"/>
      <c r="B3981" s="170"/>
      <c r="C3981" s="222"/>
      <c r="D3981" s="119" t="s">
        <v>2952</v>
      </c>
      <c r="E3981" s="440">
        <v>347532200</v>
      </c>
      <c r="F3981" s="538">
        <v>347317200</v>
      </c>
      <c r="G3981" s="276">
        <f t="shared" si="239"/>
        <v>99.938135228908294</v>
      </c>
      <c r="H3981" s="114">
        <v>100</v>
      </c>
      <c r="I3981" s="555"/>
    </row>
    <row r="3982" spans="1:9" ht="16.5" hidden="1" customHeight="1" x14ac:dyDescent="0.25">
      <c r="A3982" s="170"/>
      <c r="B3982" s="170"/>
      <c r="C3982" s="222"/>
      <c r="D3982" s="119" t="s">
        <v>2953</v>
      </c>
      <c r="E3982" s="440">
        <v>192890000</v>
      </c>
      <c r="F3982" s="538">
        <v>169640000</v>
      </c>
      <c r="G3982" s="276">
        <f t="shared" si="239"/>
        <v>87.946498004043761</v>
      </c>
      <c r="H3982" s="114">
        <v>90</v>
      </c>
      <c r="I3982" s="555"/>
    </row>
    <row r="3983" spans="1:9" ht="16.5" hidden="1" customHeight="1" x14ac:dyDescent="0.25">
      <c r="A3983" s="170"/>
      <c r="B3983" s="170"/>
      <c r="C3983" s="222"/>
      <c r="D3983" s="119" t="s">
        <v>2954</v>
      </c>
      <c r="E3983" s="440">
        <v>293650000</v>
      </c>
      <c r="F3983" s="538">
        <v>254746150</v>
      </c>
      <c r="G3983" s="276">
        <f t="shared" si="239"/>
        <v>86.751626085475905</v>
      </c>
      <c r="H3983" s="114">
        <v>90</v>
      </c>
      <c r="I3983" s="555"/>
    </row>
    <row r="3984" spans="1:9" ht="16.5" hidden="1" customHeight="1" x14ac:dyDescent="0.25">
      <c r="A3984" s="170"/>
      <c r="B3984" s="170"/>
      <c r="C3984" s="222"/>
      <c r="D3984" s="119" t="s">
        <v>2955</v>
      </c>
      <c r="E3984" s="440">
        <v>352443000</v>
      </c>
      <c r="F3984" s="538">
        <v>343413000</v>
      </c>
      <c r="G3984" s="276">
        <f t="shared" si="239"/>
        <v>97.437883572662813</v>
      </c>
      <c r="H3984" s="114">
        <v>100</v>
      </c>
      <c r="I3984" s="555"/>
    </row>
    <row r="3985" spans="1:9" ht="18.75" hidden="1" customHeight="1" x14ac:dyDescent="0.25">
      <c r="A3985" s="170"/>
      <c r="B3985" s="170"/>
      <c r="C3985" s="222"/>
      <c r="D3985" s="118" t="s">
        <v>2956</v>
      </c>
      <c r="E3985" s="440">
        <v>185000000</v>
      </c>
      <c r="F3985" s="538">
        <v>185000000</v>
      </c>
      <c r="G3985" s="276">
        <f t="shared" si="239"/>
        <v>100</v>
      </c>
      <c r="H3985" s="114">
        <f t="shared" si="240"/>
        <v>100</v>
      </c>
      <c r="I3985" s="555"/>
    </row>
    <row r="3986" spans="1:9" ht="16.5" hidden="1" customHeight="1" x14ac:dyDescent="0.25">
      <c r="A3986" s="170"/>
      <c r="B3986" s="170"/>
      <c r="C3986" s="222"/>
      <c r="D3986" s="118" t="s">
        <v>2957</v>
      </c>
      <c r="E3986" s="440">
        <v>1168500000</v>
      </c>
      <c r="F3986" s="538">
        <v>1168500000</v>
      </c>
      <c r="G3986" s="276">
        <f t="shared" si="239"/>
        <v>100</v>
      </c>
      <c r="H3986" s="114">
        <f t="shared" si="240"/>
        <v>100</v>
      </c>
      <c r="I3986" s="555"/>
    </row>
    <row r="3987" spans="1:9" s="115" customFormat="1" ht="16.5" hidden="1" customHeight="1" x14ac:dyDescent="0.25">
      <c r="A3987" s="171"/>
      <c r="B3987" s="171"/>
      <c r="C3987" s="222"/>
      <c r="D3987" s="249" t="s">
        <v>693</v>
      </c>
      <c r="E3987" s="441">
        <f>SUM(E3988:E3993)</f>
        <v>3539773000</v>
      </c>
      <c r="F3987" s="283">
        <f>SUM(F3988:F3993)</f>
        <v>3211225000</v>
      </c>
      <c r="G3987" s="297">
        <f t="shared" si="239"/>
        <v>90.718387874024685</v>
      </c>
      <c r="H3987" s="114">
        <f>SUM((H3988:H3993))/6</f>
        <v>90</v>
      </c>
      <c r="I3987" s="555"/>
    </row>
    <row r="3988" spans="1:9" ht="16.5" hidden="1" customHeight="1" x14ac:dyDescent="0.25">
      <c r="A3988" s="170"/>
      <c r="B3988" s="170"/>
      <c r="C3988" s="222"/>
      <c r="D3988" s="119" t="s">
        <v>2958</v>
      </c>
      <c r="E3988" s="440">
        <v>338098000</v>
      </c>
      <c r="F3988" s="538">
        <v>127000000</v>
      </c>
      <c r="G3988" s="276">
        <f t="shared" si="239"/>
        <v>37.563073428414242</v>
      </c>
      <c r="H3988" s="114">
        <v>50</v>
      </c>
      <c r="I3988" s="555"/>
    </row>
    <row r="3989" spans="1:9" ht="16.5" hidden="1" customHeight="1" x14ac:dyDescent="0.25">
      <c r="A3989" s="170"/>
      <c r="B3989" s="170"/>
      <c r="C3989" s="222"/>
      <c r="D3989" s="119" t="s">
        <v>2959</v>
      </c>
      <c r="E3989" s="440">
        <v>419675000</v>
      </c>
      <c r="F3989" s="538">
        <v>419675000</v>
      </c>
      <c r="G3989" s="276">
        <f t="shared" si="239"/>
        <v>100</v>
      </c>
      <c r="H3989" s="114">
        <f t="shared" si="240"/>
        <v>100</v>
      </c>
      <c r="I3989" s="555"/>
    </row>
    <row r="3990" spans="1:9" ht="16.5" hidden="1" customHeight="1" x14ac:dyDescent="0.25">
      <c r="A3990" s="170"/>
      <c r="B3990" s="170"/>
      <c r="C3990" s="222"/>
      <c r="D3990" s="119" t="s">
        <v>2960</v>
      </c>
      <c r="E3990" s="440">
        <v>745000000</v>
      </c>
      <c r="F3990" s="538">
        <v>737550000</v>
      </c>
      <c r="G3990" s="276">
        <f t="shared" si="239"/>
        <v>99</v>
      </c>
      <c r="H3990" s="114">
        <v>100</v>
      </c>
      <c r="I3990" s="555"/>
    </row>
    <row r="3991" spans="1:9" ht="16.5" hidden="1" customHeight="1" x14ac:dyDescent="0.25">
      <c r="A3991" s="170"/>
      <c r="B3991" s="170"/>
      <c r="C3991" s="222"/>
      <c r="D3991" s="119" t="s">
        <v>2961</v>
      </c>
      <c r="E3991" s="440">
        <v>745000000</v>
      </c>
      <c r="F3991" s="538">
        <v>745000000</v>
      </c>
      <c r="G3991" s="276">
        <f t="shared" si="239"/>
        <v>100</v>
      </c>
      <c r="H3991" s="114">
        <v>100</v>
      </c>
      <c r="I3991" s="555"/>
    </row>
    <row r="3992" spans="1:9" ht="16.5" hidden="1" customHeight="1" x14ac:dyDescent="0.25">
      <c r="A3992" s="170"/>
      <c r="B3992" s="170"/>
      <c r="C3992" s="222"/>
      <c r="D3992" s="119" t="s">
        <v>2962</v>
      </c>
      <c r="E3992" s="440">
        <v>920000000</v>
      </c>
      <c r="F3992" s="538">
        <v>835000000</v>
      </c>
      <c r="G3992" s="276">
        <f t="shared" si="239"/>
        <v>90.760869565217391</v>
      </c>
      <c r="H3992" s="114">
        <v>95</v>
      </c>
      <c r="I3992" s="555"/>
    </row>
    <row r="3993" spans="1:9" ht="16.5" hidden="1" customHeight="1" x14ac:dyDescent="0.25">
      <c r="A3993" s="170"/>
      <c r="B3993" s="170"/>
      <c r="C3993" s="222"/>
      <c r="D3993" s="119" t="s">
        <v>2963</v>
      </c>
      <c r="E3993" s="440">
        <v>372000000</v>
      </c>
      <c r="F3993" s="538">
        <v>347000000</v>
      </c>
      <c r="G3993" s="276">
        <f t="shared" si="239"/>
        <v>93.27956989247312</v>
      </c>
      <c r="H3993" s="114">
        <v>95</v>
      </c>
      <c r="I3993" s="555"/>
    </row>
    <row r="3994" spans="1:9" s="115" customFormat="1" ht="16.5" hidden="1" customHeight="1" x14ac:dyDescent="0.25">
      <c r="A3994" s="171"/>
      <c r="B3994" s="171"/>
      <c r="C3994" s="222"/>
      <c r="D3994" s="249" t="s">
        <v>92</v>
      </c>
      <c r="E3994" s="441">
        <v>155550000</v>
      </c>
      <c r="F3994" s="283">
        <f>+F3995</f>
        <v>155550000</v>
      </c>
      <c r="G3994" s="297">
        <f t="shared" si="239"/>
        <v>100</v>
      </c>
      <c r="H3994" s="114">
        <f t="shared" si="240"/>
        <v>100</v>
      </c>
      <c r="I3994" s="555"/>
    </row>
    <row r="3995" spans="1:9" ht="16.5" hidden="1" customHeight="1" x14ac:dyDescent="0.25">
      <c r="A3995" s="170"/>
      <c r="B3995" s="170"/>
      <c r="C3995" s="222"/>
      <c r="D3995" s="119" t="s">
        <v>2964</v>
      </c>
      <c r="E3995" s="440">
        <v>155550000</v>
      </c>
      <c r="F3995" s="538">
        <v>155550000</v>
      </c>
      <c r="G3995" s="276">
        <f t="shared" si="239"/>
        <v>100</v>
      </c>
      <c r="H3995" s="114">
        <f t="shared" si="240"/>
        <v>100</v>
      </c>
      <c r="I3995" s="555"/>
    </row>
    <row r="3996" spans="1:9" s="115" customFormat="1" ht="16.5" hidden="1" customHeight="1" x14ac:dyDescent="0.25">
      <c r="A3996" s="171"/>
      <c r="B3996" s="171"/>
      <c r="C3996" s="222"/>
      <c r="D3996" s="249" t="s">
        <v>100</v>
      </c>
      <c r="E3996" s="441">
        <v>3498000000</v>
      </c>
      <c r="F3996" s="283">
        <f>+F3997</f>
        <v>3093221968</v>
      </c>
      <c r="G3996" s="297">
        <f t="shared" si="239"/>
        <v>88.428300971983987</v>
      </c>
      <c r="H3996" s="114">
        <v>90</v>
      </c>
      <c r="I3996" s="555"/>
    </row>
    <row r="3997" spans="1:9" ht="16.5" hidden="1" customHeight="1" x14ac:dyDescent="0.25">
      <c r="A3997" s="170"/>
      <c r="B3997" s="170"/>
      <c r="C3997" s="222"/>
      <c r="D3997" s="119" t="s">
        <v>2965</v>
      </c>
      <c r="E3997" s="440">
        <v>3498000000</v>
      </c>
      <c r="F3997" s="538">
        <v>3093221968</v>
      </c>
      <c r="G3997" s="276">
        <f t="shared" si="239"/>
        <v>88.428300971983987</v>
      </c>
      <c r="H3997" s="114">
        <v>90</v>
      </c>
      <c r="I3997" s="555"/>
    </row>
    <row r="3998" spans="1:9" s="115" customFormat="1" ht="16.5" hidden="1" customHeight="1" x14ac:dyDescent="0.25">
      <c r="A3998" s="171"/>
      <c r="B3998" s="171"/>
      <c r="C3998" s="222"/>
      <c r="D3998" s="249" t="s">
        <v>109</v>
      </c>
      <c r="E3998" s="441">
        <v>277502800</v>
      </c>
      <c r="F3998" s="283">
        <f>+F3999</f>
        <v>277502800</v>
      </c>
      <c r="G3998" s="297">
        <f t="shared" si="239"/>
        <v>100</v>
      </c>
      <c r="H3998" s="114">
        <f t="shared" si="240"/>
        <v>100</v>
      </c>
      <c r="I3998" s="555"/>
    </row>
    <row r="3999" spans="1:9" ht="16.5" hidden="1" customHeight="1" x14ac:dyDescent="0.25">
      <c r="A3999" s="170"/>
      <c r="B3999" s="170"/>
      <c r="C3999" s="222"/>
      <c r="D3999" s="119" t="s">
        <v>2966</v>
      </c>
      <c r="E3999" s="440">
        <v>277502800</v>
      </c>
      <c r="F3999" s="538">
        <v>277502800</v>
      </c>
      <c r="G3999" s="276">
        <f t="shared" si="239"/>
        <v>100</v>
      </c>
      <c r="H3999" s="114">
        <f t="shared" si="240"/>
        <v>100</v>
      </c>
      <c r="I3999" s="555"/>
    </row>
    <row r="4000" spans="1:9" ht="16.5" hidden="1" customHeight="1" x14ac:dyDescent="0.25">
      <c r="A4000" s="170"/>
      <c r="B4000" s="170"/>
      <c r="C4000" s="222"/>
      <c r="D4000" s="119"/>
      <c r="E4000" s="440"/>
      <c r="F4000" s="538">
        <v>0</v>
      </c>
      <c r="G4000" s="276"/>
      <c r="H4000" s="114"/>
      <c r="I4000" s="111"/>
    </row>
    <row r="4001" spans="1:9" s="115" customFormat="1" ht="18.75" hidden="1" customHeight="1" x14ac:dyDescent="0.25">
      <c r="A4001" s="171"/>
      <c r="B4001" s="171"/>
      <c r="C4001" s="222"/>
      <c r="D4001" s="249" t="s">
        <v>150</v>
      </c>
      <c r="E4001" s="441">
        <f>+E4002+E4005+E4007+E4012+E4017+E4022+E4035+E4037+E4039</f>
        <v>6827016600</v>
      </c>
      <c r="F4001" s="283">
        <f>+F4002+F4005+F4012+F4022+F4037+F4039</f>
        <v>3963083900</v>
      </c>
      <c r="G4001" s="297">
        <f t="shared" ref="G4001:G4006" si="241">F4001/E4001*100</f>
        <v>58.050011186438297</v>
      </c>
      <c r="H4001" s="114">
        <f>(H4002+H4005+H4007+H4012+H4017+H4022+H4035+H4037+H4039)/9</f>
        <v>44.81481481481481</v>
      </c>
      <c r="I4001" s="121"/>
    </row>
    <row r="4002" spans="1:9" s="115" customFormat="1" ht="16.5" hidden="1" customHeight="1" x14ac:dyDescent="0.25">
      <c r="A4002" s="171"/>
      <c r="B4002" s="171"/>
      <c r="C4002" s="222"/>
      <c r="D4002" s="249" t="s">
        <v>156</v>
      </c>
      <c r="E4002" s="441">
        <f>SUM(E4003:E4004)</f>
        <v>1150000000</v>
      </c>
      <c r="F4002" s="283">
        <f>+F4003+F4004</f>
        <v>1049698900</v>
      </c>
      <c r="G4002" s="297">
        <f t="shared" si="241"/>
        <v>91.278165217391305</v>
      </c>
      <c r="H4002" s="114">
        <v>80</v>
      </c>
      <c r="I4002" s="556"/>
    </row>
    <row r="4003" spans="1:9" ht="28.5" hidden="1" customHeight="1" x14ac:dyDescent="0.25">
      <c r="A4003" s="170"/>
      <c r="B4003" s="170"/>
      <c r="C4003" s="222"/>
      <c r="D4003" s="118" t="s">
        <v>2967</v>
      </c>
      <c r="E4003" s="440">
        <v>900000000</v>
      </c>
      <c r="F4003" s="538">
        <v>899698900</v>
      </c>
      <c r="G4003" s="276">
        <f t="shared" si="241"/>
        <v>99.966544444444452</v>
      </c>
      <c r="H4003" s="114">
        <v>100</v>
      </c>
      <c r="I4003" s="556"/>
    </row>
    <row r="4004" spans="1:9" ht="16.5" hidden="1" customHeight="1" x14ac:dyDescent="0.25">
      <c r="A4004" s="170"/>
      <c r="B4004" s="170"/>
      <c r="C4004" s="222"/>
      <c r="D4004" s="119" t="s">
        <v>2968</v>
      </c>
      <c r="E4004" s="440">
        <v>250000000</v>
      </c>
      <c r="F4004" s="538">
        <v>150000000</v>
      </c>
      <c r="G4004" s="276">
        <f t="shared" si="241"/>
        <v>60</v>
      </c>
      <c r="H4004" s="114">
        <f t="shared" si="240"/>
        <v>60</v>
      </c>
      <c r="I4004" s="556"/>
    </row>
    <row r="4005" spans="1:9" s="115" customFormat="1" ht="16.5" hidden="1" customHeight="1" x14ac:dyDescent="0.25">
      <c r="A4005" s="171"/>
      <c r="B4005" s="171"/>
      <c r="C4005" s="222"/>
      <c r="D4005" s="249" t="s">
        <v>166</v>
      </c>
      <c r="E4005" s="441">
        <f>SUM(E4006)</f>
        <v>1000000000</v>
      </c>
      <c r="F4005" s="283">
        <f>+F4006</f>
        <v>1000000000</v>
      </c>
      <c r="G4005" s="297">
        <f t="shared" si="241"/>
        <v>100</v>
      </c>
      <c r="H4005" s="114">
        <f t="shared" si="240"/>
        <v>100</v>
      </c>
      <c r="I4005" s="556"/>
    </row>
    <row r="4006" spans="1:9" ht="18.75" hidden="1" customHeight="1" x14ac:dyDescent="0.25">
      <c r="A4006" s="170"/>
      <c r="B4006" s="170"/>
      <c r="C4006" s="222"/>
      <c r="D4006" s="119" t="s">
        <v>2969</v>
      </c>
      <c r="E4006" s="440">
        <v>1000000000</v>
      </c>
      <c r="F4006" s="538">
        <v>1000000000</v>
      </c>
      <c r="G4006" s="276">
        <f t="shared" si="241"/>
        <v>100</v>
      </c>
      <c r="H4006" s="114">
        <f t="shared" si="240"/>
        <v>100</v>
      </c>
      <c r="I4006" s="556"/>
    </row>
    <row r="4007" spans="1:9" s="115" customFormat="1" ht="18.75" hidden="1" customHeight="1" x14ac:dyDescent="0.25">
      <c r="A4007" s="171"/>
      <c r="B4007" s="171"/>
      <c r="C4007" s="222"/>
      <c r="D4007" s="249" t="s">
        <v>705</v>
      </c>
      <c r="E4007" s="441">
        <f>SUM(E4008:E4011)</f>
        <v>937000000</v>
      </c>
      <c r="F4007" s="283">
        <v>0</v>
      </c>
      <c r="G4007" s="297"/>
      <c r="H4007" s="114"/>
      <c r="I4007" s="556"/>
    </row>
    <row r="4008" spans="1:9" ht="18.75" hidden="1" customHeight="1" x14ac:dyDescent="0.25">
      <c r="A4008" s="170"/>
      <c r="B4008" s="170"/>
      <c r="C4008" s="222"/>
      <c r="D4008" s="118" t="s">
        <v>2970</v>
      </c>
      <c r="E4008" s="440">
        <v>250000000</v>
      </c>
      <c r="F4008" s="538">
        <v>0</v>
      </c>
      <c r="G4008" s="276"/>
      <c r="H4008" s="114"/>
      <c r="I4008" s="556"/>
    </row>
    <row r="4009" spans="1:9" ht="36" hidden="1" customHeight="1" x14ac:dyDescent="0.25">
      <c r="A4009" s="170"/>
      <c r="B4009" s="170"/>
      <c r="C4009" s="222"/>
      <c r="D4009" s="118" t="s">
        <v>2971</v>
      </c>
      <c r="E4009" s="440">
        <v>200000000</v>
      </c>
      <c r="F4009" s="538">
        <v>0</v>
      </c>
      <c r="G4009" s="276"/>
      <c r="H4009" s="114"/>
      <c r="I4009" s="556"/>
    </row>
    <row r="4010" spans="1:9" ht="16.5" hidden="1" customHeight="1" x14ac:dyDescent="0.25">
      <c r="A4010" s="170"/>
      <c r="B4010" s="170"/>
      <c r="C4010" s="222"/>
      <c r="D4010" s="118" t="s">
        <v>2972</v>
      </c>
      <c r="E4010" s="440">
        <v>187000000</v>
      </c>
      <c r="F4010" s="538">
        <v>0</v>
      </c>
      <c r="G4010" s="276"/>
      <c r="H4010" s="114"/>
      <c r="I4010" s="556"/>
    </row>
    <row r="4011" spans="1:9" ht="36" hidden="1" customHeight="1" x14ac:dyDescent="0.25">
      <c r="A4011" s="170"/>
      <c r="B4011" s="170"/>
      <c r="C4011" s="222"/>
      <c r="D4011" s="118" t="s">
        <v>2973</v>
      </c>
      <c r="E4011" s="440">
        <v>300000000</v>
      </c>
      <c r="F4011" s="538">
        <v>0</v>
      </c>
      <c r="G4011" s="276"/>
      <c r="H4011" s="114"/>
      <c r="I4011" s="556"/>
    </row>
    <row r="4012" spans="1:9" s="115" customFormat="1" ht="18.75" hidden="1" customHeight="1" x14ac:dyDescent="0.25">
      <c r="A4012" s="171"/>
      <c r="B4012" s="171"/>
      <c r="C4012" s="222"/>
      <c r="D4012" s="249" t="s">
        <v>177</v>
      </c>
      <c r="E4012" s="441">
        <f>SUM(E4013:E4016)</f>
        <v>935800000</v>
      </c>
      <c r="F4012" s="283">
        <f>+F4013+F4014+F4015+F4016+F4017+F4018+F4019+F4020+F4021</f>
        <v>461910000</v>
      </c>
      <c r="G4012" s="297">
        <f>F4012/E4012*100</f>
        <v>49.359905962812569</v>
      </c>
      <c r="H4012" s="114">
        <f>(H4013+H4014+H4015+H4016)/4</f>
        <v>40</v>
      </c>
      <c r="I4012" s="556"/>
    </row>
    <row r="4013" spans="1:9" ht="30" hidden="1" customHeight="1" x14ac:dyDescent="0.25">
      <c r="A4013" s="170"/>
      <c r="B4013" s="170"/>
      <c r="C4013" s="222"/>
      <c r="D4013" s="118" t="s">
        <v>2974</v>
      </c>
      <c r="E4013" s="440">
        <v>50000000</v>
      </c>
      <c r="F4013" s="538">
        <v>0</v>
      </c>
      <c r="G4013" s="276"/>
      <c r="H4013" s="114"/>
      <c r="I4013" s="556"/>
    </row>
    <row r="4014" spans="1:9" ht="16.5" hidden="1" customHeight="1" x14ac:dyDescent="0.25">
      <c r="A4014" s="170"/>
      <c r="B4014" s="170"/>
      <c r="C4014" s="222"/>
      <c r="D4014" s="118" t="s">
        <v>2975</v>
      </c>
      <c r="E4014" s="440">
        <v>585800000</v>
      </c>
      <c r="F4014" s="538">
        <v>311910000</v>
      </c>
      <c r="G4014" s="276">
        <f>F4014/E4014*100</f>
        <v>53.245134858313413</v>
      </c>
      <c r="H4014" s="114">
        <v>60</v>
      </c>
      <c r="I4014" s="556"/>
    </row>
    <row r="4015" spans="1:9" ht="16.5" hidden="1" customHeight="1" x14ac:dyDescent="0.25">
      <c r="A4015" s="170"/>
      <c r="B4015" s="170"/>
      <c r="C4015" s="222"/>
      <c r="D4015" s="119" t="s">
        <v>2976</v>
      </c>
      <c r="E4015" s="440">
        <v>150000000</v>
      </c>
      <c r="F4015" s="538">
        <v>0</v>
      </c>
      <c r="G4015" s="276"/>
      <c r="H4015" s="114"/>
      <c r="I4015" s="556"/>
    </row>
    <row r="4016" spans="1:9" ht="16.5" hidden="1" customHeight="1" x14ac:dyDescent="0.25">
      <c r="A4016" s="170"/>
      <c r="B4016" s="170"/>
      <c r="C4016" s="222"/>
      <c r="D4016" s="119" t="s">
        <v>1724</v>
      </c>
      <c r="E4016" s="440">
        <v>150000000</v>
      </c>
      <c r="F4016" s="538">
        <v>150000000</v>
      </c>
      <c r="G4016" s="276">
        <f>F4016/E4016*100</f>
        <v>100</v>
      </c>
      <c r="H4016" s="114">
        <f t="shared" si="240"/>
        <v>100</v>
      </c>
      <c r="I4016" s="556"/>
    </row>
    <row r="4017" spans="1:9" s="115" customFormat="1" ht="16.5" hidden="1" customHeight="1" x14ac:dyDescent="0.25">
      <c r="A4017" s="171"/>
      <c r="B4017" s="171"/>
      <c r="C4017" s="222"/>
      <c r="D4017" s="249" t="s">
        <v>179</v>
      </c>
      <c r="E4017" s="441">
        <f>SUM(E4018:E4021)</f>
        <v>275000000</v>
      </c>
      <c r="F4017" s="283">
        <v>0</v>
      </c>
      <c r="G4017" s="297"/>
      <c r="H4017" s="114"/>
      <c r="I4017" s="556"/>
    </row>
    <row r="4018" spans="1:9" ht="16.5" hidden="1" customHeight="1" x14ac:dyDescent="0.25">
      <c r="A4018" s="170"/>
      <c r="B4018" s="170"/>
      <c r="C4018" s="222"/>
      <c r="D4018" s="119" t="s">
        <v>2977</v>
      </c>
      <c r="E4018" s="440">
        <v>50000000</v>
      </c>
      <c r="F4018" s="538">
        <v>0</v>
      </c>
      <c r="G4018" s="276"/>
      <c r="H4018" s="114"/>
      <c r="I4018" s="556"/>
    </row>
    <row r="4019" spans="1:9" ht="16.5" hidden="1" customHeight="1" x14ac:dyDescent="0.25">
      <c r="A4019" s="170"/>
      <c r="B4019" s="170"/>
      <c r="C4019" s="222"/>
      <c r="D4019" s="119" t="s">
        <v>2978</v>
      </c>
      <c r="E4019" s="440">
        <v>75000000</v>
      </c>
      <c r="F4019" s="538">
        <v>0</v>
      </c>
      <c r="G4019" s="276"/>
      <c r="H4019" s="114"/>
      <c r="I4019" s="556"/>
    </row>
    <row r="4020" spans="1:9" ht="16.5" hidden="1" customHeight="1" x14ac:dyDescent="0.25">
      <c r="A4020" s="170"/>
      <c r="B4020" s="170"/>
      <c r="C4020" s="222"/>
      <c r="D4020" s="119" t="s">
        <v>1725</v>
      </c>
      <c r="E4020" s="440">
        <v>50000000</v>
      </c>
      <c r="F4020" s="538">
        <v>0</v>
      </c>
      <c r="G4020" s="276"/>
      <c r="H4020" s="114"/>
      <c r="I4020" s="556"/>
    </row>
    <row r="4021" spans="1:9" ht="16.5" hidden="1" customHeight="1" x14ac:dyDescent="0.25">
      <c r="A4021" s="170"/>
      <c r="B4021" s="170"/>
      <c r="C4021" s="222"/>
      <c r="D4021" s="119" t="s">
        <v>2979</v>
      </c>
      <c r="E4021" s="440">
        <v>100000000</v>
      </c>
      <c r="F4021" s="538">
        <v>0</v>
      </c>
      <c r="G4021" s="276"/>
      <c r="H4021" s="114"/>
      <c r="I4021" s="556"/>
    </row>
    <row r="4022" spans="1:9" s="115" customFormat="1" ht="16.5" hidden="1" customHeight="1" x14ac:dyDescent="0.25">
      <c r="A4022" s="171"/>
      <c r="B4022" s="171"/>
      <c r="C4022" s="222"/>
      <c r="D4022" s="249" t="s">
        <v>182</v>
      </c>
      <c r="E4022" s="441">
        <f>SUM(E4023:E4034)</f>
        <v>1302000000</v>
      </c>
      <c r="F4022" s="283">
        <f>+F4023+F4024+F4025+F4026+F4027+F4028+F4029+F4030+F4031+F4032+F4033+F4034</f>
        <v>701000000</v>
      </c>
      <c r="G4022" s="297">
        <f>F4022/E4022*100</f>
        <v>53.840245775729642</v>
      </c>
      <c r="H4022" s="114">
        <f>SUM((H4023:H4034))/12</f>
        <v>58.333333333333336</v>
      </c>
      <c r="I4022" s="556"/>
    </row>
    <row r="4023" spans="1:9" ht="16.5" hidden="1" customHeight="1" x14ac:dyDescent="0.25">
      <c r="A4023" s="170"/>
      <c r="B4023" s="170"/>
      <c r="C4023" s="222"/>
      <c r="D4023" s="119" t="s">
        <v>1395</v>
      </c>
      <c r="E4023" s="440">
        <v>59440000</v>
      </c>
      <c r="F4023" s="538">
        <v>59440000</v>
      </c>
      <c r="G4023" s="276">
        <f>F4023/E4023*100</f>
        <v>100</v>
      </c>
      <c r="H4023" s="114">
        <f t="shared" ref="H4023:H4082" si="242">+G4023</f>
        <v>100</v>
      </c>
      <c r="I4023" s="556"/>
    </row>
    <row r="4024" spans="1:9" ht="16.5" hidden="1" customHeight="1" x14ac:dyDescent="0.25">
      <c r="A4024" s="170"/>
      <c r="B4024" s="170"/>
      <c r="C4024" s="222"/>
      <c r="D4024" s="119" t="s">
        <v>2980</v>
      </c>
      <c r="E4024" s="440">
        <v>120000000</v>
      </c>
      <c r="F4024" s="538">
        <v>120000000</v>
      </c>
      <c r="G4024" s="276">
        <f>F4024/E4024*100</f>
        <v>100</v>
      </c>
      <c r="H4024" s="114">
        <f t="shared" si="242"/>
        <v>100</v>
      </c>
      <c r="I4024" s="556"/>
    </row>
    <row r="4025" spans="1:9" ht="18.75" hidden="1" customHeight="1" x14ac:dyDescent="0.25">
      <c r="A4025" s="170"/>
      <c r="B4025" s="170"/>
      <c r="C4025" s="222"/>
      <c r="D4025" s="119" t="s">
        <v>2981</v>
      </c>
      <c r="E4025" s="440">
        <v>120000000</v>
      </c>
      <c r="F4025" s="538">
        <v>0</v>
      </c>
      <c r="G4025" s="276"/>
      <c r="H4025" s="114">
        <f t="shared" si="242"/>
        <v>0</v>
      </c>
      <c r="I4025" s="556"/>
    </row>
    <row r="4026" spans="1:9" ht="18.75" hidden="1" customHeight="1" x14ac:dyDescent="0.25">
      <c r="A4026" s="170"/>
      <c r="B4026" s="170"/>
      <c r="C4026" s="222"/>
      <c r="D4026" s="119" t="s">
        <v>2982</v>
      </c>
      <c r="E4026" s="440">
        <v>120000000</v>
      </c>
      <c r="F4026" s="538">
        <v>120000000</v>
      </c>
      <c r="G4026" s="276">
        <f>F4026/E4026*100</f>
        <v>100</v>
      </c>
      <c r="H4026" s="114">
        <f t="shared" si="242"/>
        <v>100</v>
      </c>
      <c r="I4026" s="556"/>
    </row>
    <row r="4027" spans="1:9" ht="18.75" hidden="1" customHeight="1" x14ac:dyDescent="0.25">
      <c r="A4027" s="170"/>
      <c r="B4027" s="170"/>
      <c r="C4027" s="222"/>
      <c r="D4027" s="118" t="s">
        <v>2983</v>
      </c>
      <c r="E4027" s="440">
        <v>120000000</v>
      </c>
      <c r="F4027" s="538">
        <v>0</v>
      </c>
      <c r="G4027" s="276"/>
      <c r="H4027" s="114">
        <f t="shared" si="242"/>
        <v>0</v>
      </c>
      <c r="I4027" s="556"/>
    </row>
    <row r="4028" spans="1:9" ht="18.75" hidden="1" customHeight="1" x14ac:dyDescent="0.25">
      <c r="A4028" s="170"/>
      <c r="B4028" s="170"/>
      <c r="C4028" s="222"/>
      <c r="D4028" s="119" t="s">
        <v>2984</v>
      </c>
      <c r="E4028" s="440">
        <v>68000000</v>
      </c>
      <c r="F4028" s="538">
        <v>68000000</v>
      </c>
      <c r="G4028" s="276">
        <f>F4028/E4028*100</f>
        <v>100</v>
      </c>
      <c r="H4028" s="114">
        <f t="shared" si="242"/>
        <v>100</v>
      </c>
      <c r="I4028" s="556"/>
    </row>
    <row r="4029" spans="1:9" ht="18.75" hidden="1" customHeight="1" x14ac:dyDescent="0.25">
      <c r="A4029" s="170"/>
      <c r="B4029" s="170"/>
      <c r="C4029" s="222"/>
      <c r="D4029" s="118" t="s">
        <v>2985</v>
      </c>
      <c r="E4029" s="440">
        <v>168560000</v>
      </c>
      <c r="F4029" s="538">
        <v>168560000</v>
      </c>
      <c r="G4029" s="276">
        <f>F4029/E4029*100</f>
        <v>100</v>
      </c>
      <c r="H4029" s="114">
        <f t="shared" si="242"/>
        <v>100</v>
      </c>
      <c r="I4029" s="556"/>
    </row>
    <row r="4030" spans="1:9" ht="16.5" hidden="1" customHeight="1" x14ac:dyDescent="0.25">
      <c r="A4030" s="170"/>
      <c r="B4030" s="170"/>
      <c r="C4030" s="222"/>
      <c r="D4030" s="119" t="s">
        <v>2986</v>
      </c>
      <c r="E4030" s="440">
        <v>65000000</v>
      </c>
      <c r="F4030" s="538">
        <v>65000000</v>
      </c>
      <c r="G4030" s="276">
        <f>F4030/E4030*100</f>
        <v>100</v>
      </c>
      <c r="H4030" s="114">
        <f t="shared" si="242"/>
        <v>100</v>
      </c>
      <c r="I4030" s="556"/>
    </row>
    <row r="4031" spans="1:9" ht="18.75" hidden="1" customHeight="1" x14ac:dyDescent="0.25">
      <c r="A4031" s="170"/>
      <c r="B4031" s="170"/>
      <c r="C4031" s="222"/>
      <c r="D4031" s="118" t="s">
        <v>2987</v>
      </c>
      <c r="E4031" s="440">
        <v>136000000</v>
      </c>
      <c r="F4031" s="538">
        <v>0</v>
      </c>
      <c r="G4031" s="276"/>
      <c r="H4031" s="114">
        <f t="shared" si="242"/>
        <v>0</v>
      </c>
      <c r="I4031" s="556"/>
    </row>
    <row r="4032" spans="1:9" ht="16.5" hidden="1" customHeight="1" x14ac:dyDescent="0.25">
      <c r="A4032" s="170"/>
      <c r="B4032" s="170"/>
      <c r="C4032" s="222"/>
      <c r="D4032" s="118" t="s">
        <v>2988</v>
      </c>
      <c r="E4032" s="440">
        <v>75000000</v>
      </c>
      <c r="F4032" s="538">
        <v>0</v>
      </c>
      <c r="G4032" s="276"/>
      <c r="H4032" s="114">
        <f t="shared" si="242"/>
        <v>0</v>
      </c>
      <c r="I4032" s="556"/>
    </row>
    <row r="4033" spans="1:9" ht="26.25" hidden="1" customHeight="1" x14ac:dyDescent="0.25">
      <c r="A4033" s="170"/>
      <c r="B4033" s="170"/>
      <c r="C4033" s="222"/>
      <c r="D4033" s="118" t="s">
        <v>2989</v>
      </c>
      <c r="E4033" s="440">
        <v>150000000</v>
      </c>
      <c r="F4033" s="538">
        <v>0</v>
      </c>
      <c r="G4033" s="276"/>
      <c r="H4033" s="114">
        <f t="shared" si="242"/>
        <v>0</v>
      </c>
      <c r="I4033" s="556"/>
    </row>
    <row r="4034" spans="1:9" ht="16.5" hidden="1" customHeight="1" x14ac:dyDescent="0.25">
      <c r="A4034" s="170"/>
      <c r="B4034" s="170"/>
      <c r="C4034" s="222"/>
      <c r="D4034" s="119" t="s">
        <v>2990</v>
      </c>
      <c r="E4034" s="440">
        <v>100000000</v>
      </c>
      <c r="F4034" s="538">
        <v>100000000</v>
      </c>
      <c r="G4034" s="276">
        <f>F4034/E4034*100</f>
        <v>100</v>
      </c>
      <c r="H4034" s="114">
        <f t="shared" si="242"/>
        <v>100</v>
      </c>
      <c r="I4034" s="556"/>
    </row>
    <row r="4035" spans="1:9" s="115" customFormat="1" ht="16.5" hidden="1" customHeight="1" x14ac:dyDescent="0.25">
      <c r="A4035" s="171"/>
      <c r="B4035" s="171"/>
      <c r="C4035" s="222"/>
      <c r="D4035" s="249" t="s">
        <v>196</v>
      </c>
      <c r="E4035" s="441">
        <f>SUM(E4036)</f>
        <v>200000000</v>
      </c>
      <c r="F4035" s="283">
        <v>0</v>
      </c>
      <c r="G4035" s="297"/>
      <c r="H4035" s="114">
        <f t="shared" si="242"/>
        <v>0</v>
      </c>
      <c r="I4035" s="556"/>
    </row>
    <row r="4036" spans="1:9" ht="16.5" hidden="1" customHeight="1" x14ac:dyDescent="0.25">
      <c r="A4036" s="170"/>
      <c r="B4036" s="170"/>
      <c r="C4036" s="222"/>
      <c r="D4036" s="119" t="s">
        <v>1730</v>
      </c>
      <c r="E4036" s="440">
        <v>200000000</v>
      </c>
      <c r="F4036" s="538">
        <v>0</v>
      </c>
      <c r="G4036" s="276"/>
      <c r="H4036" s="114">
        <f t="shared" si="242"/>
        <v>0</v>
      </c>
      <c r="I4036" s="556"/>
    </row>
    <row r="4037" spans="1:9" s="115" customFormat="1" ht="16.5" hidden="1" customHeight="1" x14ac:dyDescent="0.25">
      <c r="A4037" s="171"/>
      <c r="B4037" s="171"/>
      <c r="C4037" s="222"/>
      <c r="D4037" s="249" t="s">
        <v>1570</v>
      </c>
      <c r="E4037" s="441">
        <f>SUM(E4038)</f>
        <v>227216600</v>
      </c>
      <c r="F4037" s="283">
        <f>+F4038</f>
        <v>100475000</v>
      </c>
      <c r="G4037" s="297">
        <f>F4037/E4037*100</f>
        <v>44.21992055157942</v>
      </c>
      <c r="H4037" s="114">
        <f>H4038</f>
        <v>50</v>
      </c>
      <c r="I4037" s="556"/>
    </row>
    <row r="4038" spans="1:9" ht="16.5" hidden="1" customHeight="1" x14ac:dyDescent="0.25">
      <c r="A4038" s="170"/>
      <c r="B4038" s="170"/>
      <c r="C4038" s="222"/>
      <c r="D4038" s="119" t="s">
        <v>1731</v>
      </c>
      <c r="E4038" s="440">
        <v>227216600</v>
      </c>
      <c r="F4038" s="538">
        <v>100475000</v>
      </c>
      <c r="G4038" s="276">
        <f>F4038/E4038*100</f>
        <v>44.21992055157942</v>
      </c>
      <c r="H4038" s="114">
        <v>50</v>
      </c>
      <c r="I4038" s="556"/>
    </row>
    <row r="4039" spans="1:9" s="115" customFormat="1" ht="16.5" hidden="1" customHeight="1" x14ac:dyDescent="0.25">
      <c r="A4039" s="171"/>
      <c r="B4039" s="171"/>
      <c r="C4039" s="222"/>
      <c r="D4039" s="249" t="s">
        <v>843</v>
      </c>
      <c r="E4039" s="441">
        <f>SUM(E4040:E4043)</f>
        <v>800000000</v>
      </c>
      <c r="F4039" s="283">
        <f>SUM(F4040:F4043)</f>
        <v>650000000</v>
      </c>
      <c r="G4039" s="297">
        <f>F4039/E4039*100</f>
        <v>81.25</v>
      </c>
      <c r="H4039" s="114">
        <f>(H4040+H4041+H4042+H4043)/4</f>
        <v>75</v>
      </c>
      <c r="I4039" s="556"/>
    </row>
    <row r="4040" spans="1:9" ht="36" hidden="1" customHeight="1" x14ac:dyDescent="0.25">
      <c r="A4040" s="170"/>
      <c r="B4040" s="170"/>
      <c r="C4040" s="222"/>
      <c r="D4040" s="119" t="s">
        <v>2991</v>
      </c>
      <c r="E4040" s="440">
        <v>150000000</v>
      </c>
      <c r="F4040" s="538"/>
      <c r="G4040" s="276"/>
      <c r="H4040" s="114">
        <f t="shared" si="242"/>
        <v>0</v>
      </c>
      <c r="I4040" s="556"/>
    </row>
    <row r="4041" spans="1:9" ht="16.5" hidden="1" customHeight="1" x14ac:dyDescent="0.25">
      <c r="A4041" s="170"/>
      <c r="B4041" s="170"/>
      <c r="C4041" s="222"/>
      <c r="D4041" s="119" t="s">
        <v>2992</v>
      </c>
      <c r="E4041" s="440">
        <v>100000000</v>
      </c>
      <c r="F4041" s="538">
        <v>100000000</v>
      </c>
      <c r="G4041" s="276">
        <f>F4041/E4041*100</f>
        <v>100</v>
      </c>
      <c r="H4041" s="114">
        <f t="shared" si="242"/>
        <v>100</v>
      </c>
      <c r="I4041" s="556"/>
    </row>
    <row r="4042" spans="1:9" ht="23.25" hidden="1" customHeight="1" x14ac:dyDescent="0.25">
      <c r="A4042" s="170"/>
      <c r="B4042" s="170"/>
      <c r="C4042" s="222"/>
      <c r="D4042" s="118" t="s">
        <v>2993</v>
      </c>
      <c r="E4042" s="440">
        <v>450000000</v>
      </c>
      <c r="F4042" s="538">
        <v>450000000</v>
      </c>
      <c r="G4042" s="276">
        <f>F4042/E4042*100</f>
        <v>100</v>
      </c>
      <c r="H4042" s="114">
        <f t="shared" si="242"/>
        <v>100</v>
      </c>
      <c r="I4042" s="556"/>
    </row>
    <row r="4043" spans="1:9" s="115" customFormat="1" ht="16.5" hidden="1" customHeight="1" x14ac:dyDescent="0.25">
      <c r="A4043" s="171"/>
      <c r="B4043" s="171"/>
      <c r="C4043" s="222"/>
      <c r="D4043" s="119" t="s">
        <v>2994</v>
      </c>
      <c r="E4043" s="440">
        <v>100000000</v>
      </c>
      <c r="F4043" s="538">
        <v>100000000</v>
      </c>
      <c r="G4043" s="276">
        <f>F4043/E4043*100</f>
        <v>100</v>
      </c>
      <c r="H4043" s="114">
        <f t="shared" si="242"/>
        <v>100</v>
      </c>
      <c r="I4043" s="556"/>
    </row>
    <row r="4044" spans="1:9" ht="16.5" hidden="1" customHeight="1" x14ac:dyDescent="0.25">
      <c r="A4044" s="170"/>
      <c r="B4044" s="170"/>
      <c r="C4044" s="222"/>
      <c r="D4044" s="119"/>
      <c r="E4044" s="440"/>
      <c r="F4044" s="538">
        <v>0</v>
      </c>
      <c r="G4044" s="276"/>
      <c r="H4044" s="114"/>
      <c r="I4044" s="111"/>
    </row>
    <row r="4045" spans="1:9" s="115" customFormat="1" ht="16.5" hidden="1" customHeight="1" x14ac:dyDescent="0.25">
      <c r="A4045" s="171"/>
      <c r="B4045" s="171"/>
      <c r="C4045" s="222"/>
      <c r="D4045" s="249" t="s">
        <v>847</v>
      </c>
      <c r="E4045" s="441">
        <v>6000000000</v>
      </c>
      <c r="F4045" s="283">
        <f>+F4046+F4048+F4050+F4052+F4054+F4056</f>
        <v>4469544099</v>
      </c>
      <c r="G4045" s="276">
        <f t="shared" ref="G4045:G4057" si="243">F4045/E4045*100</f>
        <v>74.492401649999991</v>
      </c>
      <c r="H4045" s="114">
        <f>(H4046+H4048+H4050+H4052+H4054+H4056)/6</f>
        <v>72.946048306421332</v>
      </c>
      <c r="I4045" s="556"/>
    </row>
    <row r="4046" spans="1:9" s="115" customFormat="1" ht="16.5" hidden="1" customHeight="1" x14ac:dyDescent="0.25">
      <c r="A4046" s="171"/>
      <c r="B4046" s="171"/>
      <c r="C4046" s="222"/>
      <c r="D4046" s="249" t="s">
        <v>825</v>
      </c>
      <c r="E4046" s="441">
        <v>335625000</v>
      </c>
      <c r="F4046" s="283">
        <f>+F4047</f>
        <v>335625000</v>
      </c>
      <c r="G4046" s="276">
        <f t="shared" si="243"/>
        <v>100</v>
      </c>
      <c r="H4046" s="114">
        <f t="shared" si="242"/>
        <v>100</v>
      </c>
      <c r="I4046" s="556"/>
    </row>
    <row r="4047" spans="1:9" ht="16.5" hidden="1" customHeight="1" x14ac:dyDescent="0.25">
      <c r="A4047" s="170"/>
      <c r="B4047" s="170"/>
      <c r="C4047" s="222"/>
      <c r="D4047" s="119" t="s">
        <v>2995</v>
      </c>
      <c r="E4047" s="440">
        <v>335625000</v>
      </c>
      <c r="F4047" s="538">
        <v>335625000</v>
      </c>
      <c r="G4047" s="276">
        <f t="shared" si="243"/>
        <v>100</v>
      </c>
      <c r="H4047" s="114">
        <f t="shared" si="242"/>
        <v>100</v>
      </c>
      <c r="I4047" s="556"/>
    </row>
    <row r="4048" spans="1:9" s="115" customFormat="1" ht="16.5" hidden="1" customHeight="1" x14ac:dyDescent="0.25">
      <c r="A4048" s="171"/>
      <c r="B4048" s="171"/>
      <c r="C4048" s="222"/>
      <c r="D4048" s="249" t="s">
        <v>156</v>
      </c>
      <c r="E4048" s="441">
        <v>2000000000</v>
      </c>
      <c r="F4048" s="283">
        <f>+F4049</f>
        <v>1829804600</v>
      </c>
      <c r="G4048" s="297">
        <f t="shared" si="243"/>
        <v>91.490229999999997</v>
      </c>
      <c r="H4048" s="114">
        <f>H4049</f>
        <v>95</v>
      </c>
      <c r="I4048" s="556"/>
    </row>
    <row r="4049" spans="1:9" ht="16.5" hidden="1" customHeight="1" x14ac:dyDescent="0.25">
      <c r="A4049" s="170"/>
      <c r="B4049" s="170"/>
      <c r="C4049" s="222"/>
      <c r="D4049" s="119" t="s">
        <v>1382</v>
      </c>
      <c r="E4049" s="440">
        <v>2000000000</v>
      </c>
      <c r="F4049" s="538">
        <v>1829804600</v>
      </c>
      <c r="G4049" s="276">
        <f t="shared" si="243"/>
        <v>91.490229999999997</v>
      </c>
      <c r="H4049" s="114">
        <v>95</v>
      </c>
      <c r="I4049" s="556"/>
    </row>
    <row r="4050" spans="1:9" s="115" customFormat="1" ht="16.5" hidden="1" customHeight="1" x14ac:dyDescent="0.25">
      <c r="A4050" s="171"/>
      <c r="B4050" s="171"/>
      <c r="C4050" s="222"/>
      <c r="D4050" s="249" t="s">
        <v>166</v>
      </c>
      <c r="E4050" s="441">
        <v>600000000</v>
      </c>
      <c r="F4050" s="283">
        <f>+F4051</f>
        <v>430931000</v>
      </c>
      <c r="G4050" s="276">
        <f t="shared" si="243"/>
        <v>71.821833333333331</v>
      </c>
      <c r="H4050" s="114">
        <f>H4051</f>
        <v>80</v>
      </c>
      <c r="I4050" s="556"/>
    </row>
    <row r="4051" spans="1:9" ht="16.5" hidden="1" customHeight="1" x14ac:dyDescent="0.25">
      <c r="A4051" s="170"/>
      <c r="B4051" s="170"/>
      <c r="C4051" s="222"/>
      <c r="D4051" s="119" t="s">
        <v>2996</v>
      </c>
      <c r="E4051" s="440">
        <v>600000000</v>
      </c>
      <c r="F4051" s="538">
        <v>430931000</v>
      </c>
      <c r="G4051" s="276">
        <f t="shared" si="243"/>
        <v>71.821833333333331</v>
      </c>
      <c r="H4051" s="114">
        <v>80</v>
      </c>
      <c r="I4051" s="556"/>
    </row>
    <row r="4052" spans="1:9" s="115" customFormat="1" ht="36" hidden="1" customHeight="1" x14ac:dyDescent="0.25">
      <c r="A4052" s="171"/>
      <c r="B4052" s="171"/>
      <c r="C4052" s="222"/>
      <c r="D4052" s="249" t="s">
        <v>168</v>
      </c>
      <c r="E4052" s="441">
        <v>1664375000</v>
      </c>
      <c r="F4052" s="283">
        <f>+F4053</f>
        <v>1376043499</v>
      </c>
      <c r="G4052" s="276">
        <f t="shared" si="243"/>
        <v>82.676289838527978</v>
      </c>
      <c r="H4052" s="114">
        <f t="shared" si="242"/>
        <v>82.676289838527978</v>
      </c>
      <c r="I4052" s="556"/>
    </row>
    <row r="4053" spans="1:9" ht="16.5" hidden="1" customHeight="1" x14ac:dyDescent="0.25">
      <c r="A4053" s="170"/>
      <c r="B4053" s="170"/>
      <c r="C4053" s="222"/>
      <c r="D4053" s="119" t="s">
        <v>2997</v>
      </c>
      <c r="E4053" s="440">
        <v>1664375000</v>
      </c>
      <c r="F4053" s="538">
        <v>1376043499</v>
      </c>
      <c r="G4053" s="276">
        <f t="shared" si="243"/>
        <v>82.676289838527978</v>
      </c>
      <c r="H4053" s="114">
        <f t="shared" si="242"/>
        <v>82.676289838527978</v>
      </c>
      <c r="I4053" s="556"/>
    </row>
    <row r="4054" spans="1:9" s="115" customFormat="1" ht="26.25" hidden="1" customHeight="1" x14ac:dyDescent="0.25">
      <c r="A4054" s="171"/>
      <c r="B4054" s="171"/>
      <c r="C4054" s="222"/>
      <c r="D4054" s="249" t="s">
        <v>2998</v>
      </c>
      <c r="E4054" s="441">
        <v>712730000</v>
      </c>
      <c r="F4054" s="283">
        <f>+F4055</f>
        <v>191590000</v>
      </c>
      <c r="G4054" s="297">
        <f t="shared" si="243"/>
        <v>26.881147138467583</v>
      </c>
      <c r="H4054" s="114">
        <f>H4055</f>
        <v>30</v>
      </c>
      <c r="I4054" s="556"/>
    </row>
    <row r="4055" spans="1:9" ht="36" hidden="1" customHeight="1" x14ac:dyDescent="0.25">
      <c r="A4055" s="170"/>
      <c r="B4055" s="170"/>
      <c r="C4055" s="222"/>
      <c r="D4055" s="119" t="s">
        <v>2999</v>
      </c>
      <c r="E4055" s="440">
        <v>712730000</v>
      </c>
      <c r="F4055" s="538">
        <v>191590000</v>
      </c>
      <c r="G4055" s="276">
        <f t="shared" si="243"/>
        <v>26.881147138467583</v>
      </c>
      <c r="H4055" s="114">
        <v>30</v>
      </c>
      <c r="I4055" s="556"/>
    </row>
    <row r="4056" spans="1:9" s="115" customFormat="1" ht="16.5" hidden="1" customHeight="1" x14ac:dyDescent="0.25">
      <c r="A4056" s="171"/>
      <c r="B4056" s="171"/>
      <c r="C4056" s="222"/>
      <c r="D4056" s="249" t="s">
        <v>3000</v>
      </c>
      <c r="E4056" s="441">
        <v>687270000</v>
      </c>
      <c r="F4056" s="283">
        <f>+F4057</f>
        <v>305550000</v>
      </c>
      <c r="G4056" s="297">
        <f t="shared" si="243"/>
        <v>44.458509755991095</v>
      </c>
      <c r="H4056" s="114">
        <f>H4057</f>
        <v>50</v>
      </c>
      <c r="I4056" s="556"/>
    </row>
    <row r="4057" spans="1:9" ht="16.5" hidden="1" customHeight="1" x14ac:dyDescent="0.25">
      <c r="A4057" s="170"/>
      <c r="B4057" s="170"/>
      <c r="C4057" s="222"/>
      <c r="D4057" s="118" t="s">
        <v>3001</v>
      </c>
      <c r="E4057" s="440">
        <v>687270000</v>
      </c>
      <c r="F4057" s="538">
        <v>305550000</v>
      </c>
      <c r="G4057" s="276">
        <f t="shared" si="243"/>
        <v>44.458509755991095</v>
      </c>
      <c r="H4057" s="114">
        <v>50</v>
      </c>
      <c r="I4057" s="556"/>
    </row>
    <row r="4058" spans="1:9" ht="16.5" hidden="1" customHeight="1" x14ac:dyDescent="0.25">
      <c r="A4058" s="170"/>
      <c r="B4058" s="170"/>
      <c r="C4058" s="222"/>
      <c r="D4058" s="118"/>
      <c r="E4058" s="440"/>
      <c r="F4058" s="538">
        <v>0</v>
      </c>
      <c r="G4058" s="276"/>
      <c r="H4058" s="114"/>
      <c r="I4058" s="111"/>
    </row>
    <row r="4059" spans="1:9" s="115" customFormat="1" ht="16.5" hidden="1" customHeight="1" x14ac:dyDescent="0.25">
      <c r="A4059" s="171"/>
      <c r="B4059" s="171"/>
      <c r="C4059" s="222"/>
      <c r="D4059" s="249" t="s">
        <v>854</v>
      </c>
      <c r="E4059" s="441">
        <v>700000000</v>
      </c>
      <c r="F4059" s="283">
        <f>+F4060</f>
        <v>458573600</v>
      </c>
      <c r="G4059" s="276">
        <f>F4059/E4059*100</f>
        <v>65.510514285714279</v>
      </c>
      <c r="H4059" s="114">
        <f>H4060</f>
        <v>75</v>
      </c>
      <c r="I4059" s="121"/>
    </row>
    <row r="4060" spans="1:9" s="115" customFormat="1" ht="16.5" hidden="1" customHeight="1" x14ac:dyDescent="0.25">
      <c r="A4060" s="171"/>
      <c r="B4060" s="171"/>
      <c r="C4060" s="222"/>
      <c r="D4060" s="249" t="s">
        <v>726</v>
      </c>
      <c r="E4060" s="441">
        <v>700000000</v>
      </c>
      <c r="F4060" s="283">
        <f>+F4061</f>
        <v>458573600</v>
      </c>
      <c r="G4060" s="276">
        <f>F4060/E4060*100</f>
        <v>65.510514285714279</v>
      </c>
      <c r="H4060" s="114">
        <f>H4061</f>
        <v>75</v>
      </c>
      <c r="I4060" s="121"/>
    </row>
    <row r="4061" spans="1:9" ht="16.5" hidden="1" customHeight="1" x14ac:dyDescent="0.25">
      <c r="A4061" s="170"/>
      <c r="B4061" s="170"/>
      <c r="C4061" s="222"/>
      <c r="D4061" s="119" t="s">
        <v>3002</v>
      </c>
      <c r="E4061" s="440">
        <v>700000000</v>
      </c>
      <c r="F4061" s="538">
        <v>458573600</v>
      </c>
      <c r="G4061" s="276">
        <f>F4061/E4061*100</f>
        <v>65.510514285714279</v>
      </c>
      <c r="H4061" s="114">
        <v>75</v>
      </c>
      <c r="I4061" s="556"/>
    </row>
    <row r="4062" spans="1:9" ht="16.5" hidden="1" customHeight="1" x14ac:dyDescent="0.25">
      <c r="A4062" s="170"/>
      <c r="B4062" s="170"/>
      <c r="C4062" s="222"/>
      <c r="D4062" s="119"/>
      <c r="E4062" s="440"/>
      <c r="F4062" s="538">
        <v>0</v>
      </c>
      <c r="G4062" s="276"/>
      <c r="H4062" s="114"/>
      <c r="I4062" s="111"/>
    </row>
    <row r="4063" spans="1:9" s="115" customFormat="1" ht="16.5" hidden="1" customHeight="1" x14ac:dyDescent="0.25">
      <c r="A4063" s="171"/>
      <c r="B4063" s="171"/>
      <c r="C4063" s="222"/>
      <c r="D4063" s="249" t="s">
        <v>1743</v>
      </c>
      <c r="E4063" s="441">
        <v>7000000000</v>
      </c>
      <c r="F4063" s="283">
        <f>+F4064</f>
        <v>6980410000</v>
      </c>
      <c r="G4063" s="276">
        <f>F4063/E4063*100</f>
        <v>99.720142857142861</v>
      </c>
      <c r="H4063" s="114">
        <f>H4064</f>
        <v>100</v>
      </c>
      <c r="I4063" s="121"/>
    </row>
    <row r="4064" spans="1:9" s="115" customFormat="1" ht="18.75" hidden="1" customHeight="1" x14ac:dyDescent="0.25">
      <c r="A4064" s="171"/>
      <c r="B4064" s="171"/>
      <c r="C4064" s="222"/>
      <c r="D4064" s="249" t="s">
        <v>729</v>
      </c>
      <c r="E4064" s="441">
        <v>7000000000</v>
      </c>
      <c r="F4064" s="283">
        <f>+F4065</f>
        <v>6980410000</v>
      </c>
      <c r="G4064" s="276">
        <f>F4064/E4064*100</f>
        <v>99.720142857142861</v>
      </c>
      <c r="H4064" s="114">
        <f>H4065</f>
        <v>100</v>
      </c>
      <c r="I4064" s="121"/>
    </row>
    <row r="4065" spans="1:9" ht="16.5" hidden="1" customHeight="1" x14ac:dyDescent="0.25">
      <c r="A4065" s="170"/>
      <c r="B4065" s="170"/>
      <c r="C4065" s="222"/>
      <c r="D4065" s="119" t="s">
        <v>1460</v>
      </c>
      <c r="E4065" s="440">
        <v>7000000000</v>
      </c>
      <c r="F4065" s="538">
        <v>6980410000</v>
      </c>
      <c r="G4065" s="276">
        <f>F4065/E4065*100</f>
        <v>99.720142857142861</v>
      </c>
      <c r="H4065" s="114">
        <v>100</v>
      </c>
      <c r="I4065" s="556"/>
    </row>
    <row r="4066" spans="1:9" ht="16.5" hidden="1" customHeight="1" x14ac:dyDescent="0.25">
      <c r="A4066" s="170"/>
      <c r="B4066" s="170"/>
      <c r="C4066" s="222"/>
      <c r="D4066" s="119"/>
      <c r="E4066" s="440"/>
      <c r="F4066" s="538">
        <v>0</v>
      </c>
      <c r="G4066" s="276"/>
      <c r="H4066" s="114"/>
      <c r="I4066" s="111"/>
    </row>
    <row r="4067" spans="1:9" s="115" customFormat="1" ht="16.5" hidden="1" customHeight="1" x14ac:dyDescent="0.25">
      <c r="A4067" s="171"/>
      <c r="B4067" s="171"/>
      <c r="C4067" s="222"/>
      <c r="D4067" s="249" t="s">
        <v>864</v>
      </c>
      <c r="E4067" s="441">
        <v>550000000</v>
      </c>
      <c r="F4067" s="283">
        <f>+F4068</f>
        <v>550000000</v>
      </c>
      <c r="G4067" s="276">
        <f>F4067/E4067*100</f>
        <v>100</v>
      </c>
      <c r="H4067" s="114">
        <f t="shared" si="242"/>
        <v>100</v>
      </c>
      <c r="I4067" s="121"/>
    </row>
    <row r="4068" spans="1:9" s="115" customFormat="1" ht="24" hidden="1" customHeight="1" x14ac:dyDescent="0.25">
      <c r="A4068" s="171"/>
      <c r="B4068" s="171"/>
      <c r="C4068" s="222"/>
      <c r="D4068" s="249" t="s">
        <v>259</v>
      </c>
      <c r="E4068" s="441">
        <v>550000000</v>
      </c>
      <c r="F4068" s="283">
        <f>+F4069+F4070+F4071</f>
        <v>550000000</v>
      </c>
      <c r="G4068" s="276">
        <f>F4068/E4068*100</f>
        <v>100</v>
      </c>
      <c r="H4068" s="114">
        <f t="shared" si="242"/>
        <v>100</v>
      </c>
      <c r="I4068" s="121"/>
    </row>
    <row r="4069" spans="1:9" ht="16.5" hidden="1" customHeight="1" x14ac:dyDescent="0.25">
      <c r="A4069" s="170"/>
      <c r="B4069" s="170"/>
      <c r="C4069" s="222"/>
      <c r="D4069" s="118" t="s">
        <v>3003</v>
      </c>
      <c r="E4069" s="440">
        <v>293200000</v>
      </c>
      <c r="F4069" s="538">
        <v>293200000</v>
      </c>
      <c r="G4069" s="276">
        <f>F4069/E4069*100</f>
        <v>100</v>
      </c>
      <c r="H4069" s="114">
        <f t="shared" si="242"/>
        <v>100</v>
      </c>
      <c r="I4069" s="556"/>
    </row>
    <row r="4070" spans="1:9" ht="16.5" hidden="1" customHeight="1" x14ac:dyDescent="0.25">
      <c r="A4070" s="170"/>
      <c r="B4070" s="170"/>
      <c r="C4070" s="222"/>
      <c r="D4070" s="119" t="s">
        <v>3004</v>
      </c>
      <c r="E4070" s="440">
        <v>156800000</v>
      </c>
      <c r="F4070" s="538">
        <v>156800000</v>
      </c>
      <c r="G4070" s="276">
        <f>F4070/E4070*100</f>
        <v>100</v>
      </c>
      <c r="H4070" s="114">
        <f t="shared" si="242"/>
        <v>100</v>
      </c>
      <c r="I4070" s="556"/>
    </row>
    <row r="4071" spans="1:9" ht="16.5" hidden="1" customHeight="1" x14ac:dyDescent="0.25">
      <c r="A4071" s="170"/>
      <c r="B4071" s="170"/>
      <c r="C4071" s="222"/>
      <c r="D4071" s="118" t="s">
        <v>3005</v>
      </c>
      <c r="E4071" s="440">
        <v>100000000</v>
      </c>
      <c r="F4071" s="538">
        <v>100000000</v>
      </c>
      <c r="G4071" s="276">
        <f>F4071/E4071*100</f>
        <v>100</v>
      </c>
      <c r="H4071" s="114">
        <f t="shared" si="242"/>
        <v>100</v>
      </c>
      <c r="I4071" s="556"/>
    </row>
    <row r="4072" spans="1:9" ht="16.5" hidden="1" customHeight="1" x14ac:dyDescent="0.25">
      <c r="A4072" s="170"/>
      <c r="B4072" s="170"/>
      <c r="C4072" s="222"/>
      <c r="D4072" s="119"/>
      <c r="E4072" s="440"/>
      <c r="F4072" s="538">
        <v>0</v>
      </c>
      <c r="G4072" s="276"/>
      <c r="H4072" s="114"/>
      <c r="I4072" s="111"/>
    </row>
    <row r="4073" spans="1:9" s="115" customFormat="1" ht="16.5" hidden="1" customHeight="1" x14ac:dyDescent="0.25">
      <c r="A4073" s="171"/>
      <c r="B4073" s="171"/>
      <c r="C4073" s="222"/>
      <c r="D4073" s="249" t="s">
        <v>3006</v>
      </c>
      <c r="E4073" s="441">
        <f>SUM(E4076+E4078)</f>
        <v>4000000000</v>
      </c>
      <c r="F4073" s="283">
        <f>+F4074</f>
        <v>2895000000</v>
      </c>
      <c r="G4073" s="297">
        <f>F4073/E4073*100</f>
        <v>72.375</v>
      </c>
      <c r="H4073" s="114">
        <f>H4074</f>
        <v>33.333333333333336</v>
      </c>
      <c r="I4073" s="121"/>
    </row>
    <row r="4074" spans="1:9" s="115" customFormat="1" ht="16.5" hidden="1" customHeight="1" x14ac:dyDescent="0.25">
      <c r="A4074" s="171"/>
      <c r="B4074" s="171"/>
      <c r="C4074" s="222"/>
      <c r="D4074" s="249" t="s">
        <v>786</v>
      </c>
      <c r="E4074" s="441">
        <v>4000000000</v>
      </c>
      <c r="F4074" s="283">
        <f>+F4075</f>
        <v>2895000000</v>
      </c>
      <c r="G4074" s="297">
        <f>F4074/E4074*100</f>
        <v>72.375</v>
      </c>
      <c r="H4074" s="114">
        <f>H4075</f>
        <v>33.333333333333336</v>
      </c>
      <c r="I4074" s="121"/>
    </row>
    <row r="4075" spans="1:9" s="115" customFormat="1" ht="16.5" hidden="1" customHeight="1" x14ac:dyDescent="0.25">
      <c r="A4075" s="171"/>
      <c r="B4075" s="171"/>
      <c r="C4075" s="222"/>
      <c r="D4075" s="249" t="s">
        <v>263</v>
      </c>
      <c r="E4075" s="441">
        <v>3000000000</v>
      </c>
      <c r="F4075" s="283">
        <f>+F4076</f>
        <v>2895000000</v>
      </c>
      <c r="G4075" s="297">
        <f>F4075/E4075*100</f>
        <v>96.5</v>
      </c>
      <c r="H4075" s="114">
        <f>(H4076+H4077+H4078)/3</f>
        <v>33.333333333333336</v>
      </c>
      <c r="I4075" s="121"/>
    </row>
    <row r="4076" spans="1:9" ht="16.5" hidden="1" customHeight="1" x14ac:dyDescent="0.25">
      <c r="A4076" s="170"/>
      <c r="B4076" s="170"/>
      <c r="C4076" s="222"/>
      <c r="D4076" s="119" t="s">
        <v>3007</v>
      </c>
      <c r="E4076" s="440">
        <v>3000000000</v>
      </c>
      <c r="F4076" s="538">
        <v>2895000000</v>
      </c>
      <c r="G4076" s="276">
        <f>F4076/E4076*100</f>
        <v>96.5</v>
      </c>
      <c r="H4076" s="114">
        <v>100</v>
      </c>
      <c r="I4076" s="556"/>
    </row>
    <row r="4077" spans="1:9" ht="16.5" hidden="1" customHeight="1" x14ac:dyDescent="0.25">
      <c r="A4077" s="170"/>
      <c r="B4077" s="170"/>
      <c r="C4077" s="222"/>
      <c r="D4077" s="118" t="s">
        <v>2652</v>
      </c>
      <c r="E4077" s="440">
        <v>1000000000</v>
      </c>
      <c r="F4077" s="538">
        <v>0</v>
      </c>
      <c r="G4077" s="276"/>
      <c r="H4077" s="114">
        <f t="shared" si="242"/>
        <v>0</v>
      </c>
      <c r="I4077" s="111"/>
    </row>
    <row r="4078" spans="1:9" ht="16.5" hidden="1" customHeight="1" x14ac:dyDescent="0.25">
      <c r="A4078" s="170"/>
      <c r="B4078" s="170"/>
      <c r="C4078" s="222"/>
      <c r="D4078" s="119" t="s">
        <v>3008</v>
      </c>
      <c r="E4078" s="440">
        <v>1000000000</v>
      </c>
      <c r="F4078" s="538">
        <v>0</v>
      </c>
      <c r="G4078" s="276"/>
      <c r="H4078" s="114">
        <f t="shared" si="242"/>
        <v>0</v>
      </c>
      <c r="I4078" s="111"/>
    </row>
    <row r="4079" spans="1:9" ht="16.5" hidden="1" customHeight="1" x14ac:dyDescent="0.25">
      <c r="A4079" s="170"/>
      <c r="B4079" s="170"/>
      <c r="C4079" s="222"/>
      <c r="D4079" s="119"/>
      <c r="E4079" s="440"/>
      <c r="F4079" s="538">
        <v>0</v>
      </c>
      <c r="G4079" s="276"/>
      <c r="H4079" s="114"/>
      <c r="I4079" s="111"/>
    </row>
    <row r="4080" spans="1:9" s="115" customFormat="1" ht="18.75" hidden="1" customHeight="1" x14ac:dyDescent="0.25">
      <c r="A4080" s="171"/>
      <c r="B4080" s="171"/>
      <c r="C4080" s="222"/>
      <c r="D4080" s="249" t="s">
        <v>3009</v>
      </c>
      <c r="E4080" s="441">
        <v>230268880</v>
      </c>
      <c r="F4080" s="283">
        <f>+F4081</f>
        <v>230268880</v>
      </c>
      <c r="G4080" s="297">
        <f>F4080/E4080*100</f>
        <v>100</v>
      </c>
      <c r="H4080" s="114">
        <f t="shared" si="242"/>
        <v>100</v>
      </c>
      <c r="I4080" s="121"/>
    </row>
    <row r="4081" spans="1:9" s="115" customFormat="1" ht="18.75" hidden="1" customHeight="1" x14ac:dyDescent="0.25">
      <c r="A4081" s="171"/>
      <c r="B4081" s="171"/>
      <c r="C4081" s="222"/>
      <c r="D4081" s="249" t="s">
        <v>275</v>
      </c>
      <c r="E4081" s="441">
        <v>230268880</v>
      </c>
      <c r="F4081" s="283">
        <f>+F4082</f>
        <v>230268880</v>
      </c>
      <c r="G4081" s="297">
        <f>F4081/E4081*100</f>
        <v>100</v>
      </c>
      <c r="H4081" s="114">
        <f t="shared" si="242"/>
        <v>100</v>
      </c>
      <c r="I4081" s="121"/>
    </row>
    <row r="4082" spans="1:9" ht="16.5" hidden="1" customHeight="1" x14ac:dyDescent="0.25">
      <c r="A4082" s="170"/>
      <c r="B4082" s="170"/>
      <c r="C4082" s="222"/>
      <c r="D4082" s="119" t="s">
        <v>3010</v>
      </c>
      <c r="E4082" s="440">
        <v>230268880</v>
      </c>
      <c r="F4082" s="538">
        <v>230268880</v>
      </c>
      <c r="G4082" s="276">
        <f>F4082/E4082*100</f>
        <v>100</v>
      </c>
      <c r="H4082" s="114">
        <f t="shared" si="242"/>
        <v>100</v>
      </c>
      <c r="I4082" s="556"/>
    </row>
    <row r="4083" spans="1:9" ht="16.5" hidden="1" customHeight="1" x14ac:dyDescent="0.25">
      <c r="A4083" s="170"/>
      <c r="B4083" s="170"/>
      <c r="C4083" s="222"/>
      <c r="D4083" s="119"/>
      <c r="E4083" s="440"/>
      <c r="F4083" s="538">
        <v>0</v>
      </c>
      <c r="G4083" s="276"/>
      <c r="H4083" s="114"/>
      <c r="I4083" s="111"/>
    </row>
    <row r="4084" spans="1:9" s="115" customFormat="1" ht="16.5" hidden="1" customHeight="1" x14ac:dyDescent="0.25">
      <c r="A4084" s="171"/>
      <c r="B4084" s="171"/>
      <c r="C4084" s="222"/>
      <c r="D4084" s="249" t="s">
        <v>298</v>
      </c>
      <c r="E4084" s="441">
        <v>2778000000</v>
      </c>
      <c r="F4084" s="283">
        <f>+F4085+F4090+F4095</f>
        <v>2449960000</v>
      </c>
      <c r="G4084" s="297">
        <f t="shared" ref="G4084:G4096" si="244">F4084/E4084*100</f>
        <v>88.191504679625638</v>
      </c>
      <c r="H4084" s="114">
        <f>(H4085+H4090+H4095)/3</f>
        <v>89.771316626849512</v>
      </c>
      <c r="I4084" s="121"/>
    </row>
    <row r="4085" spans="1:9" s="115" customFormat="1" ht="16.5" hidden="1" customHeight="1" x14ac:dyDescent="0.25">
      <c r="A4085" s="171"/>
      <c r="B4085" s="171"/>
      <c r="C4085" s="222"/>
      <c r="D4085" s="249" t="s">
        <v>343</v>
      </c>
      <c r="E4085" s="441">
        <f>SUM(E4086:E4089)</f>
        <v>1052125000</v>
      </c>
      <c r="F4085" s="283">
        <f>+F4086+F4087+F4088+F4089</f>
        <v>823700000</v>
      </c>
      <c r="G4085" s="297">
        <f t="shared" si="244"/>
        <v>78.289176666270649</v>
      </c>
      <c r="H4085" s="114">
        <f>(H4086+H4087+H4088+H4089)/4</f>
        <v>82.183856502242151</v>
      </c>
      <c r="I4085" s="121"/>
    </row>
    <row r="4086" spans="1:9" ht="16.5" hidden="1" customHeight="1" x14ac:dyDescent="0.25">
      <c r="A4086" s="170"/>
      <c r="B4086" s="170"/>
      <c r="C4086" s="222"/>
      <c r="D4086" s="119" t="s">
        <v>3011</v>
      </c>
      <c r="E4086" s="440">
        <v>260825000</v>
      </c>
      <c r="F4086" s="538">
        <v>250400000</v>
      </c>
      <c r="G4086" s="276">
        <f t="shared" si="244"/>
        <v>96.003067190645069</v>
      </c>
      <c r="H4086" s="114">
        <v>100</v>
      </c>
      <c r="I4086" s="111"/>
    </row>
    <row r="4087" spans="1:9" ht="16.5" hidden="1" customHeight="1" x14ac:dyDescent="0.25">
      <c r="A4087" s="170"/>
      <c r="B4087" s="170"/>
      <c r="C4087" s="222"/>
      <c r="D4087" s="118" t="s">
        <v>3012</v>
      </c>
      <c r="E4087" s="440">
        <v>279100000</v>
      </c>
      <c r="F4087" s="538">
        <v>279100000</v>
      </c>
      <c r="G4087" s="276">
        <f t="shared" si="244"/>
        <v>100</v>
      </c>
      <c r="H4087" s="114">
        <f t="shared" ref="H4087:H4149" si="245">+G4087</f>
        <v>100</v>
      </c>
      <c r="I4087" s="111"/>
    </row>
    <row r="4088" spans="1:9" ht="16.5" hidden="1" customHeight="1" x14ac:dyDescent="0.25">
      <c r="A4088" s="170"/>
      <c r="B4088" s="170"/>
      <c r="C4088" s="222"/>
      <c r="D4088" s="118" t="s">
        <v>3013</v>
      </c>
      <c r="E4088" s="440">
        <v>312200000</v>
      </c>
      <c r="F4088" s="538">
        <v>102200000</v>
      </c>
      <c r="G4088" s="276">
        <f t="shared" si="244"/>
        <v>32.735426008968609</v>
      </c>
      <c r="H4088" s="114">
        <f t="shared" si="245"/>
        <v>32.735426008968609</v>
      </c>
      <c r="I4088" s="111"/>
    </row>
    <row r="4089" spans="1:9" ht="16.5" hidden="1" customHeight="1" x14ac:dyDescent="0.25">
      <c r="A4089" s="170"/>
      <c r="B4089" s="170"/>
      <c r="C4089" s="222"/>
      <c r="D4089" s="119" t="s">
        <v>3014</v>
      </c>
      <c r="E4089" s="440">
        <v>200000000</v>
      </c>
      <c r="F4089" s="538">
        <v>192000000</v>
      </c>
      <c r="G4089" s="276">
        <f t="shared" si="244"/>
        <v>96</v>
      </c>
      <c r="H4089" s="114">
        <f t="shared" si="245"/>
        <v>96</v>
      </c>
      <c r="I4089" s="111"/>
    </row>
    <row r="4090" spans="1:9" s="115" customFormat="1" ht="16.5" hidden="1" customHeight="1" x14ac:dyDescent="0.25">
      <c r="A4090" s="171"/>
      <c r="B4090" s="171"/>
      <c r="C4090" s="222"/>
      <c r="D4090" s="249" t="s">
        <v>2105</v>
      </c>
      <c r="E4090" s="441">
        <f>SUM(E4091:E4094)</f>
        <v>1475875000</v>
      </c>
      <c r="F4090" s="283">
        <f>+F4091+F4092+F4093+F4094</f>
        <v>1401630000</v>
      </c>
      <c r="G4090" s="297">
        <f t="shared" si="244"/>
        <v>94.969424917421861</v>
      </c>
      <c r="H4090" s="114">
        <f>(H4091+H4092+H4093+H4094)/4</f>
        <v>97.278093378306409</v>
      </c>
      <c r="I4090" s="121"/>
    </row>
    <row r="4091" spans="1:9" ht="16.5" hidden="1" customHeight="1" x14ac:dyDescent="0.25">
      <c r="A4091" s="170"/>
      <c r="B4091" s="170"/>
      <c r="C4091" s="222"/>
      <c r="D4091" s="118" t="s">
        <v>3015</v>
      </c>
      <c r="E4091" s="440">
        <v>538865000</v>
      </c>
      <c r="F4091" s="538">
        <v>503525000</v>
      </c>
      <c r="G4091" s="276">
        <f t="shared" si="244"/>
        <v>93.441771130060403</v>
      </c>
      <c r="H4091" s="114">
        <v>95</v>
      </c>
      <c r="I4091" s="111"/>
    </row>
    <row r="4092" spans="1:9" ht="16.5" hidden="1" customHeight="1" x14ac:dyDescent="0.25">
      <c r="A4092" s="170"/>
      <c r="B4092" s="170"/>
      <c r="C4092" s="222"/>
      <c r="D4092" s="119" t="s">
        <v>3016</v>
      </c>
      <c r="E4092" s="440">
        <v>391005000</v>
      </c>
      <c r="F4092" s="538">
        <v>354600000</v>
      </c>
      <c r="G4092" s="276">
        <f t="shared" si="244"/>
        <v>90.689377373690874</v>
      </c>
      <c r="H4092" s="114">
        <v>95</v>
      </c>
      <c r="I4092" s="111"/>
    </row>
    <row r="4093" spans="1:9" ht="16.5" hidden="1" customHeight="1" x14ac:dyDescent="0.25">
      <c r="A4093" s="170"/>
      <c r="B4093" s="170"/>
      <c r="C4093" s="222"/>
      <c r="D4093" s="119" t="s">
        <v>3017</v>
      </c>
      <c r="E4093" s="440">
        <v>281650000</v>
      </c>
      <c r="F4093" s="538">
        <v>279150000</v>
      </c>
      <c r="G4093" s="276">
        <f t="shared" si="244"/>
        <v>99.112373513225634</v>
      </c>
      <c r="H4093" s="114">
        <f t="shared" si="245"/>
        <v>99.112373513225634</v>
      </c>
      <c r="I4093" s="111"/>
    </row>
    <row r="4094" spans="1:9" ht="16.5" hidden="1" customHeight="1" x14ac:dyDescent="0.25">
      <c r="A4094" s="170"/>
      <c r="B4094" s="170"/>
      <c r="C4094" s="222"/>
      <c r="D4094" s="119" t="s">
        <v>3018</v>
      </c>
      <c r="E4094" s="440">
        <v>264355000</v>
      </c>
      <c r="F4094" s="538">
        <v>264355000</v>
      </c>
      <c r="G4094" s="276">
        <f t="shared" si="244"/>
        <v>100</v>
      </c>
      <c r="H4094" s="114">
        <f t="shared" si="245"/>
        <v>100</v>
      </c>
      <c r="I4094" s="111"/>
    </row>
    <row r="4095" spans="1:9" s="115" customFormat="1" ht="16.5" hidden="1" customHeight="1" x14ac:dyDescent="0.25">
      <c r="A4095" s="171"/>
      <c r="B4095" s="171"/>
      <c r="C4095" s="222"/>
      <c r="D4095" s="249" t="s">
        <v>736</v>
      </c>
      <c r="E4095" s="441">
        <f>SUM(E4096)</f>
        <v>250000000</v>
      </c>
      <c r="F4095" s="283">
        <f>+F4096</f>
        <v>224630000</v>
      </c>
      <c r="G4095" s="297">
        <f t="shared" si="244"/>
        <v>89.852000000000004</v>
      </c>
      <c r="H4095" s="114">
        <f t="shared" si="245"/>
        <v>89.852000000000004</v>
      </c>
      <c r="I4095" s="121"/>
    </row>
    <row r="4096" spans="1:9" s="115" customFormat="1" ht="16.5" hidden="1" customHeight="1" x14ac:dyDescent="0.25">
      <c r="A4096" s="171"/>
      <c r="B4096" s="171"/>
      <c r="C4096" s="222"/>
      <c r="D4096" s="119" t="s">
        <v>3019</v>
      </c>
      <c r="E4096" s="440">
        <v>250000000</v>
      </c>
      <c r="F4096" s="538">
        <v>224630000</v>
      </c>
      <c r="G4096" s="276">
        <f t="shared" si="244"/>
        <v>89.852000000000004</v>
      </c>
      <c r="H4096" s="114">
        <f t="shared" si="245"/>
        <v>89.852000000000004</v>
      </c>
      <c r="I4096" s="121"/>
    </row>
    <row r="4097" spans="1:9" s="115" customFormat="1" ht="16.5" hidden="1" customHeight="1" x14ac:dyDescent="0.25">
      <c r="A4097" s="171"/>
      <c r="B4097" s="171"/>
      <c r="C4097" s="222"/>
      <c r="D4097" s="118"/>
      <c r="E4097" s="440"/>
      <c r="F4097" s="538">
        <v>0</v>
      </c>
      <c r="G4097" s="276"/>
      <c r="H4097" s="114"/>
      <c r="I4097" s="121"/>
    </row>
    <row r="4098" spans="1:9" s="115" customFormat="1" ht="18.75" hidden="1" customHeight="1" x14ac:dyDescent="0.25">
      <c r="A4098" s="171"/>
      <c r="B4098" s="171"/>
      <c r="C4098" s="222"/>
      <c r="D4098" s="249" t="s">
        <v>298</v>
      </c>
      <c r="E4098" s="441">
        <v>1412806000</v>
      </c>
      <c r="F4098" s="283">
        <f>+F4099</f>
        <v>799872000</v>
      </c>
      <c r="G4098" s="297">
        <f>F4098/E4098*100</f>
        <v>56.615841099202576</v>
      </c>
      <c r="H4098" s="114">
        <f>H4099</f>
        <v>48.491447401485175</v>
      </c>
      <c r="I4098" s="121"/>
    </row>
    <row r="4099" spans="1:9" s="115" customFormat="1" ht="16.5" hidden="1" customHeight="1" x14ac:dyDescent="0.25">
      <c r="A4099" s="171"/>
      <c r="B4099" s="171"/>
      <c r="C4099" s="222"/>
      <c r="D4099" s="249" t="s">
        <v>744</v>
      </c>
      <c r="E4099" s="441">
        <f>SUM(E4100:E4102)</f>
        <v>1412806000</v>
      </c>
      <c r="F4099" s="283">
        <f>+F4100+F4101+F4102</f>
        <v>799872000</v>
      </c>
      <c r="G4099" s="297">
        <f>F4099/E4099*100</f>
        <v>56.615841099202576</v>
      </c>
      <c r="H4099" s="114">
        <f>(H4100+H4101+H4102)/3</f>
        <v>48.491447401485175</v>
      </c>
      <c r="I4099" s="121"/>
    </row>
    <row r="4100" spans="1:9" ht="18.75" hidden="1" customHeight="1" x14ac:dyDescent="0.25">
      <c r="A4100" s="170"/>
      <c r="B4100" s="170"/>
      <c r="C4100" s="222"/>
      <c r="D4100" s="119" t="s">
        <v>3020</v>
      </c>
      <c r="E4100" s="440">
        <v>622000000</v>
      </c>
      <c r="F4100" s="538">
        <v>478520000</v>
      </c>
      <c r="G4100" s="276">
        <f>F4100/E4100*100</f>
        <v>76.932475884244383</v>
      </c>
      <c r="H4100" s="114">
        <v>80</v>
      </c>
      <c r="I4100" s="111"/>
    </row>
    <row r="4101" spans="1:9" s="115" customFormat="1" ht="16.5" hidden="1" customHeight="1" x14ac:dyDescent="0.25">
      <c r="A4101" s="171"/>
      <c r="B4101" s="171"/>
      <c r="C4101" s="222"/>
      <c r="D4101" s="119" t="s">
        <v>3021</v>
      </c>
      <c r="E4101" s="440">
        <v>300000000</v>
      </c>
      <c r="F4101" s="538">
        <v>0</v>
      </c>
      <c r="G4101" s="276"/>
      <c r="H4101" s="114">
        <f t="shared" si="245"/>
        <v>0</v>
      </c>
      <c r="I4101" s="121"/>
    </row>
    <row r="4102" spans="1:9" ht="18.75" hidden="1" customHeight="1" x14ac:dyDescent="0.25">
      <c r="A4102" s="170"/>
      <c r="B4102" s="170"/>
      <c r="C4102" s="222"/>
      <c r="D4102" s="119" t="s">
        <v>748</v>
      </c>
      <c r="E4102" s="440">
        <v>490806000</v>
      </c>
      <c r="F4102" s="538">
        <v>321352000</v>
      </c>
      <c r="G4102" s="276">
        <f>F4102/E4102*100</f>
        <v>65.474342204455525</v>
      </c>
      <c r="H4102" s="114">
        <f t="shared" si="245"/>
        <v>65.474342204455525</v>
      </c>
      <c r="I4102" s="111"/>
    </row>
    <row r="4103" spans="1:9" ht="16.5" hidden="1" customHeight="1" x14ac:dyDescent="0.25">
      <c r="A4103" s="170"/>
      <c r="B4103" s="170"/>
      <c r="C4103" s="222"/>
      <c r="D4103" s="119"/>
      <c r="E4103" s="440"/>
      <c r="F4103" s="538">
        <v>0</v>
      </c>
      <c r="G4103" s="276"/>
      <c r="H4103" s="114">
        <f t="shared" si="245"/>
        <v>0</v>
      </c>
      <c r="I4103" s="111"/>
    </row>
    <row r="4104" spans="1:9" s="115" customFormat="1" ht="18.75" hidden="1" customHeight="1" x14ac:dyDescent="0.25">
      <c r="A4104" s="171"/>
      <c r="B4104" s="171"/>
      <c r="C4104" s="222"/>
      <c r="D4104" s="249" t="s">
        <v>3009</v>
      </c>
      <c r="E4104" s="441">
        <f>E4105+E4110+E4113</f>
        <v>5050000000</v>
      </c>
      <c r="F4104" s="283">
        <f>+F4105+F4110+F4113</f>
        <v>4082000000</v>
      </c>
      <c r="G4104" s="297">
        <f>F4104/E4104*100</f>
        <v>80.831683168316843</v>
      </c>
      <c r="H4104" s="114">
        <f>(H4105+H4110+H4113)/3</f>
        <v>63.888888888888893</v>
      </c>
      <c r="I4104" s="121"/>
    </row>
    <row r="4105" spans="1:9" s="115" customFormat="1" ht="22.5" hidden="1" customHeight="1" x14ac:dyDescent="0.25">
      <c r="A4105" s="171"/>
      <c r="B4105" s="171"/>
      <c r="C4105" s="222"/>
      <c r="D4105" s="249" t="s">
        <v>364</v>
      </c>
      <c r="E4105" s="441">
        <f>SUM(E4106:E4109)</f>
        <v>2300000000</v>
      </c>
      <c r="F4105" s="283">
        <f>+F4106+F4107+F4108+F4109</f>
        <v>1800000000</v>
      </c>
      <c r="G4105" s="297">
        <f>F4105/E4105*100</f>
        <v>78.260869565217391</v>
      </c>
      <c r="H4105" s="114">
        <f>(H4106+H4107+H4108+H4109)/4</f>
        <v>75</v>
      </c>
      <c r="I4105" s="121"/>
    </row>
    <row r="4106" spans="1:9" ht="18.75" hidden="1" customHeight="1" x14ac:dyDescent="0.25">
      <c r="A4106" s="170"/>
      <c r="B4106" s="170"/>
      <c r="C4106" s="222"/>
      <c r="D4106" s="119" t="s">
        <v>3022</v>
      </c>
      <c r="E4106" s="440">
        <v>500000000</v>
      </c>
      <c r="F4106" s="538">
        <v>0</v>
      </c>
      <c r="G4106" s="276"/>
      <c r="H4106" s="114">
        <f t="shared" si="245"/>
        <v>0</v>
      </c>
      <c r="I4106" s="111"/>
    </row>
    <row r="4107" spans="1:9" ht="27" hidden="1" customHeight="1" x14ac:dyDescent="0.25">
      <c r="A4107" s="170"/>
      <c r="B4107" s="170"/>
      <c r="C4107" s="222"/>
      <c r="D4107" s="118" t="s">
        <v>3023</v>
      </c>
      <c r="E4107" s="440">
        <v>600000000</v>
      </c>
      <c r="F4107" s="538">
        <v>600000000</v>
      </c>
      <c r="G4107" s="276">
        <f>F4107/E4107*100</f>
        <v>100</v>
      </c>
      <c r="H4107" s="114">
        <f t="shared" si="245"/>
        <v>100</v>
      </c>
      <c r="I4107" s="111"/>
    </row>
    <row r="4108" spans="1:9" ht="16.5" hidden="1" customHeight="1" x14ac:dyDescent="0.25">
      <c r="A4108" s="170"/>
      <c r="B4108" s="170"/>
      <c r="C4108" s="222"/>
      <c r="D4108" s="119" t="s">
        <v>3024</v>
      </c>
      <c r="E4108" s="440">
        <v>500000000</v>
      </c>
      <c r="F4108" s="538">
        <v>500000000</v>
      </c>
      <c r="G4108" s="276">
        <f>F4108/E4108*100</f>
        <v>100</v>
      </c>
      <c r="H4108" s="114">
        <f t="shared" si="245"/>
        <v>100</v>
      </c>
      <c r="I4108" s="111"/>
    </row>
    <row r="4109" spans="1:9" ht="16.5" hidden="1" customHeight="1" x14ac:dyDescent="0.25">
      <c r="A4109" s="170"/>
      <c r="B4109" s="170"/>
      <c r="C4109" s="222"/>
      <c r="D4109" s="118" t="s">
        <v>3025</v>
      </c>
      <c r="E4109" s="440">
        <v>700000000</v>
      </c>
      <c r="F4109" s="538">
        <v>700000000</v>
      </c>
      <c r="G4109" s="276">
        <f>F4109/E4109*100</f>
        <v>100</v>
      </c>
      <c r="H4109" s="114">
        <f t="shared" si="245"/>
        <v>100</v>
      </c>
      <c r="I4109" s="111"/>
    </row>
    <row r="4110" spans="1:9" s="115" customFormat="1" ht="16.5" hidden="1" customHeight="1" x14ac:dyDescent="0.25">
      <c r="A4110" s="171"/>
      <c r="B4110" s="171"/>
      <c r="C4110" s="222"/>
      <c r="D4110" s="249" t="s">
        <v>367</v>
      </c>
      <c r="E4110" s="441">
        <f>SUM(E4111:E4112)</f>
        <v>1000000000</v>
      </c>
      <c r="F4110" s="283">
        <f>+F4111+F4112</f>
        <v>732000000</v>
      </c>
      <c r="G4110" s="297">
        <f>F4110/E4110*100</f>
        <v>73.2</v>
      </c>
      <c r="H4110" s="114">
        <v>50</v>
      </c>
      <c r="I4110" s="121"/>
    </row>
    <row r="4111" spans="1:9" ht="16.5" hidden="1" customHeight="1" x14ac:dyDescent="0.25">
      <c r="A4111" s="170"/>
      <c r="B4111" s="170"/>
      <c r="C4111" s="222"/>
      <c r="D4111" s="118" t="s">
        <v>3026</v>
      </c>
      <c r="E4111" s="440">
        <v>400000000</v>
      </c>
      <c r="F4111" s="538">
        <v>132000000</v>
      </c>
      <c r="G4111" s="276"/>
      <c r="H4111" s="114">
        <f t="shared" si="245"/>
        <v>0</v>
      </c>
      <c r="I4111" s="111"/>
    </row>
    <row r="4112" spans="1:9" ht="16.5" hidden="1" customHeight="1" x14ac:dyDescent="0.25">
      <c r="A4112" s="170"/>
      <c r="B4112" s="170"/>
      <c r="C4112" s="222"/>
      <c r="D4112" s="119" t="s">
        <v>3027</v>
      </c>
      <c r="E4112" s="440">
        <v>600000000</v>
      </c>
      <c r="F4112" s="538">
        <v>600000000</v>
      </c>
      <c r="G4112" s="276">
        <f>F4112/E4112*100</f>
        <v>100</v>
      </c>
      <c r="H4112" s="114">
        <f t="shared" si="245"/>
        <v>100</v>
      </c>
      <c r="I4112" s="111"/>
    </row>
    <row r="4113" spans="1:9" s="115" customFormat="1" ht="16.5" hidden="1" customHeight="1" x14ac:dyDescent="0.25">
      <c r="A4113" s="171"/>
      <c r="B4113" s="171"/>
      <c r="C4113" s="222"/>
      <c r="D4113" s="249" t="s">
        <v>370</v>
      </c>
      <c r="E4113" s="441">
        <f>SUM(E4114:E4116)</f>
        <v>1750000000</v>
      </c>
      <c r="F4113" s="283">
        <f>+F4114+F4115+F4116</f>
        <v>1550000000</v>
      </c>
      <c r="G4113" s="297">
        <f>F4113/E4113*100</f>
        <v>88.571428571428569</v>
      </c>
      <c r="H4113" s="114">
        <f>(H4114+H4115+H4116)/3</f>
        <v>66.666666666666671</v>
      </c>
      <c r="I4113" s="121"/>
    </row>
    <row r="4114" spans="1:9" ht="29.25" hidden="1" customHeight="1" x14ac:dyDescent="0.25">
      <c r="A4114" s="170"/>
      <c r="B4114" s="170"/>
      <c r="C4114" s="222"/>
      <c r="D4114" s="118" t="s">
        <v>3028</v>
      </c>
      <c r="E4114" s="440">
        <v>200000000</v>
      </c>
      <c r="F4114" s="538">
        <v>0</v>
      </c>
      <c r="G4114" s="276"/>
      <c r="H4114" s="114">
        <f t="shared" si="245"/>
        <v>0</v>
      </c>
      <c r="I4114" s="111"/>
    </row>
    <row r="4115" spans="1:9" ht="36" hidden="1" customHeight="1" x14ac:dyDescent="0.25">
      <c r="A4115" s="170"/>
      <c r="B4115" s="170"/>
      <c r="C4115" s="222"/>
      <c r="D4115" s="119" t="s">
        <v>3029</v>
      </c>
      <c r="E4115" s="440">
        <v>850000000</v>
      </c>
      <c r="F4115" s="538">
        <v>850000000</v>
      </c>
      <c r="G4115" s="276">
        <f>F4115/E4115*100</f>
        <v>100</v>
      </c>
      <c r="H4115" s="114">
        <f t="shared" si="245"/>
        <v>100</v>
      </c>
      <c r="I4115" s="111"/>
    </row>
    <row r="4116" spans="1:9" ht="16.5" hidden="1" customHeight="1" x14ac:dyDescent="0.25">
      <c r="A4116" s="170"/>
      <c r="B4116" s="170"/>
      <c r="C4116" s="222"/>
      <c r="D4116" s="118" t="s">
        <v>2115</v>
      </c>
      <c r="E4116" s="440">
        <v>700000000</v>
      </c>
      <c r="F4116" s="538">
        <v>700000000</v>
      </c>
      <c r="G4116" s="276">
        <f>F4116/E4116*100</f>
        <v>100</v>
      </c>
      <c r="H4116" s="114">
        <f t="shared" si="245"/>
        <v>100</v>
      </c>
      <c r="I4116" s="111"/>
    </row>
    <row r="4117" spans="1:9" ht="16.5" hidden="1" customHeight="1" x14ac:dyDescent="0.25">
      <c r="A4117" s="170"/>
      <c r="B4117" s="170"/>
      <c r="C4117" s="222"/>
      <c r="D4117" s="118"/>
      <c r="E4117" s="440"/>
      <c r="F4117" s="538">
        <v>0</v>
      </c>
      <c r="G4117" s="276"/>
      <c r="H4117" s="114">
        <f t="shared" si="245"/>
        <v>0</v>
      </c>
      <c r="I4117" s="111"/>
    </row>
    <row r="4118" spans="1:9" s="115" customFormat="1" ht="16.5" hidden="1" customHeight="1" x14ac:dyDescent="0.25">
      <c r="A4118" s="171"/>
      <c r="B4118" s="171"/>
      <c r="C4118" s="222"/>
      <c r="D4118" s="249" t="s">
        <v>905</v>
      </c>
      <c r="E4118" s="441">
        <v>500000000</v>
      </c>
      <c r="F4118" s="283">
        <f>+F4119</f>
        <v>351900000</v>
      </c>
      <c r="G4118" s="297">
        <f>F4118/E4118*100</f>
        <v>70.38</v>
      </c>
      <c r="H4118" s="114">
        <f>H4119</f>
        <v>65</v>
      </c>
      <c r="I4118" s="121"/>
    </row>
    <row r="4119" spans="1:9" s="115" customFormat="1" ht="16.5" hidden="1" customHeight="1" x14ac:dyDescent="0.25">
      <c r="A4119" s="171"/>
      <c r="B4119" s="171"/>
      <c r="C4119" s="222"/>
      <c r="D4119" s="249" t="s">
        <v>396</v>
      </c>
      <c r="E4119" s="441">
        <v>500000000</v>
      </c>
      <c r="F4119" s="283">
        <f>+F4120+F4121</f>
        <v>351900000</v>
      </c>
      <c r="G4119" s="297">
        <f>F4119/E4119*100</f>
        <v>70.38</v>
      </c>
      <c r="H4119" s="114">
        <v>65</v>
      </c>
      <c r="I4119" s="121"/>
    </row>
    <row r="4120" spans="1:9" ht="16.5" hidden="1" customHeight="1" x14ac:dyDescent="0.25">
      <c r="A4120" s="170"/>
      <c r="B4120" s="170"/>
      <c r="C4120" s="222"/>
      <c r="D4120" s="119" t="s">
        <v>3030</v>
      </c>
      <c r="E4120" s="440">
        <v>200000000</v>
      </c>
      <c r="F4120" s="538">
        <v>51900000</v>
      </c>
      <c r="G4120" s="276">
        <f>F4120/E4120*100</f>
        <v>25.95</v>
      </c>
      <c r="H4120" s="114">
        <v>30</v>
      </c>
      <c r="I4120" s="111"/>
    </row>
    <row r="4121" spans="1:9" ht="16.5" hidden="1" customHeight="1" x14ac:dyDescent="0.25">
      <c r="A4121" s="170"/>
      <c r="B4121" s="170"/>
      <c r="C4121" s="222"/>
      <c r="D4121" s="119" t="s">
        <v>3031</v>
      </c>
      <c r="E4121" s="440">
        <v>300000000</v>
      </c>
      <c r="F4121" s="538">
        <v>300000000</v>
      </c>
      <c r="G4121" s="276">
        <f>F4121/E4121*100</f>
        <v>100</v>
      </c>
      <c r="H4121" s="114">
        <f t="shared" si="245"/>
        <v>100</v>
      </c>
      <c r="I4121" s="111"/>
    </row>
    <row r="4122" spans="1:9" ht="16.5" hidden="1" customHeight="1" x14ac:dyDescent="0.25">
      <c r="A4122" s="170"/>
      <c r="B4122" s="170"/>
      <c r="C4122" s="222"/>
      <c r="D4122" s="118"/>
      <c r="E4122" s="440"/>
      <c r="F4122" s="538"/>
      <c r="G4122" s="276"/>
      <c r="H4122" s="114"/>
      <c r="I4122" s="111"/>
    </row>
    <row r="4123" spans="1:9" ht="16.5" hidden="1" customHeight="1" x14ac:dyDescent="0.25">
      <c r="A4123" s="170"/>
      <c r="B4123" s="170"/>
      <c r="C4123" s="222"/>
      <c r="D4123" s="118"/>
      <c r="E4123" s="440"/>
      <c r="F4123" s="538"/>
      <c r="G4123" s="276"/>
      <c r="H4123" s="114"/>
      <c r="I4123" s="111"/>
    </row>
    <row r="4124" spans="1:9" s="115" customFormat="1" ht="16.5" hidden="1" customHeight="1" x14ac:dyDescent="0.25">
      <c r="A4124" s="171"/>
      <c r="B4124" s="171"/>
      <c r="C4124" s="222"/>
      <c r="D4124" s="249" t="s">
        <v>765</v>
      </c>
      <c r="E4124" s="441">
        <f>E4125+E4135+E4138</f>
        <v>7098361640</v>
      </c>
      <c r="F4124" s="283">
        <f>+F4125+F4135+F4138</f>
        <v>4431953500</v>
      </c>
      <c r="G4124" s="297">
        <f>F4124/E4124*100</f>
        <v>62.436287762875942</v>
      </c>
      <c r="H4124" s="114">
        <f>(H4125+H4135+H4138)/3</f>
        <v>67.407407407407405</v>
      </c>
      <c r="I4124" s="121"/>
    </row>
    <row r="4125" spans="1:9" s="115" customFormat="1" ht="16.5" hidden="1" customHeight="1" x14ac:dyDescent="0.25">
      <c r="A4125" s="171"/>
      <c r="B4125" s="171"/>
      <c r="C4125" s="222"/>
      <c r="D4125" s="249" t="s">
        <v>766</v>
      </c>
      <c r="E4125" s="441">
        <f>SUM(E4126:E4134)</f>
        <v>3101500000</v>
      </c>
      <c r="F4125" s="283">
        <f>SUM(F4126:F4134)</f>
        <v>2598800000</v>
      </c>
      <c r="G4125" s="297">
        <f>F4125/E4125*100</f>
        <v>83.791713686925689</v>
      </c>
      <c r="H4125" s="114">
        <f>SUM((H4126:H4134))/9</f>
        <v>88.888888888888886</v>
      </c>
      <c r="I4125" s="121"/>
    </row>
    <row r="4126" spans="1:9" ht="16.5" hidden="1" customHeight="1" x14ac:dyDescent="0.25">
      <c r="A4126" s="170"/>
      <c r="B4126" s="170"/>
      <c r="C4126" s="222"/>
      <c r="D4126" s="119" t="s">
        <v>3032</v>
      </c>
      <c r="E4126" s="440">
        <v>600000000</v>
      </c>
      <c r="F4126" s="538">
        <v>600000000</v>
      </c>
      <c r="G4126" s="276">
        <f>F4126/E4126*100</f>
        <v>100</v>
      </c>
      <c r="H4126" s="114">
        <f t="shared" si="245"/>
        <v>100</v>
      </c>
      <c r="I4126" s="111"/>
    </row>
    <row r="4127" spans="1:9" ht="16.5" hidden="1" customHeight="1" x14ac:dyDescent="0.25">
      <c r="A4127" s="170"/>
      <c r="B4127" s="170"/>
      <c r="C4127" s="222"/>
      <c r="D4127" s="119" t="s">
        <v>3033</v>
      </c>
      <c r="E4127" s="440">
        <v>500500000</v>
      </c>
      <c r="F4127" s="538">
        <v>0</v>
      </c>
      <c r="G4127" s="276"/>
      <c r="H4127" s="114">
        <f t="shared" si="245"/>
        <v>0</v>
      </c>
      <c r="I4127" s="111"/>
    </row>
    <row r="4128" spans="1:9" ht="16.5" hidden="1" customHeight="1" x14ac:dyDescent="0.25">
      <c r="A4128" s="170"/>
      <c r="B4128" s="170"/>
      <c r="C4128" s="222"/>
      <c r="D4128" s="119" t="s">
        <v>3034</v>
      </c>
      <c r="E4128" s="440">
        <v>250250000</v>
      </c>
      <c r="F4128" s="538">
        <v>250250000</v>
      </c>
      <c r="G4128" s="276">
        <f t="shared" ref="G4128:G4141" si="246">F4128/E4128*100</f>
        <v>100</v>
      </c>
      <c r="H4128" s="114">
        <f t="shared" si="245"/>
        <v>100</v>
      </c>
      <c r="I4128" s="111"/>
    </row>
    <row r="4129" spans="1:9" ht="16.5" hidden="1" customHeight="1" x14ac:dyDescent="0.25">
      <c r="A4129" s="170"/>
      <c r="B4129" s="170"/>
      <c r="C4129" s="222"/>
      <c r="D4129" s="119" t="s">
        <v>3035</v>
      </c>
      <c r="E4129" s="440">
        <v>450250000</v>
      </c>
      <c r="F4129" s="538">
        <v>450250000</v>
      </c>
      <c r="G4129" s="276">
        <f t="shared" si="246"/>
        <v>100</v>
      </c>
      <c r="H4129" s="114">
        <f t="shared" si="245"/>
        <v>100</v>
      </c>
      <c r="I4129" s="111"/>
    </row>
    <row r="4130" spans="1:9" ht="16.5" hidden="1" customHeight="1" x14ac:dyDescent="0.25">
      <c r="A4130" s="170"/>
      <c r="B4130" s="170"/>
      <c r="C4130" s="222"/>
      <c r="D4130" s="119" t="s">
        <v>3036</v>
      </c>
      <c r="E4130" s="440">
        <v>450500000</v>
      </c>
      <c r="F4130" s="538">
        <v>450500000</v>
      </c>
      <c r="G4130" s="276">
        <f t="shared" si="246"/>
        <v>100</v>
      </c>
      <c r="H4130" s="114">
        <f t="shared" si="245"/>
        <v>100</v>
      </c>
      <c r="I4130" s="111"/>
    </row>
    <row r="4131" spans="1:9" ht="16.5" hidden="1" customHeight="1" x14ac:dyDescent="0.25">
      <c r="A4131" s="170"/>
      <c r="B4131" s="170"/>
      <c r="C4131" s="222"/>
      <c r="D4131" s="119" t="s">
        <v>3037</v>
      </c>
      <c r="E4131" s="440">
        <v>250000000</v>
      </c>
      <c r="F4131" s="538">
        <v>250000000</v>
      </c>
      <c r="G4131" s="276">
        <f t="shared" si="246"/>
        <v>100</v>
      </c>
      <c r="H4131" s="114">
        <f t="shared" si="245"/>
        <v>100</v>
      </c>
      <c r="I4131" s="111"/>
    </row>
    <row r="4132" spans="1:9" ht="16.5" hidden="1" customHeight="1" x14ac:dyDescent="0.25">
      <c r="A4132" s="170"/>
      <c r="B4132" s="170"/>
      <c r="C4132" s="222"/>
      <c r="D4132" s="119" t="s">
        <v>3038</v>
      </c>
      <c r="E4132" s="440">
        <v>100000000</v>
      </c>
      <c r="F4132" s="538">
        <v>100000000</v>
      </c>
      <c r="G4132" s="276">
        <f t="shared" si="246"/>
        <v>100</v>
      </c>
      <c r="H4132" s="114">
        <f t="shared" si="245"/>
        <v>100</v>
      </c>
      <c r="I4132" s="111"/>
    </row>
    <row r="4133" spans="1:9" s="115" customFormat="1" ht="16.5" hidden="1" customHeight="1" x14ac:dyDescent="0.25">
      <c r="A4133" s="171"/>
      <c r="B4133" s="171"/>
      <c r="C4133" s="222"/>
      <c r="D4133" s="119" t="s">
        <v>3039</v>
      </c>
      <c r="E4133" s="440">
        <v>250000000</v>
      </c>
      <c r="F4133" s="538">
        <v>250000000</v>
      </c>
      <c r="G4133" s="276">
        <f t="shared" si="246"/>
        <v>100</v>
      </c>
      <c r="H4133" s="114">
        <f t="shared" si="245"/>
        <v>100</v>
      </c>
      <c r="I4133" s="121"/>
    </row>
    <row r="4134" spans="1:9" s="115" customFormat="1" ht="16.5" hidden="1" customHeight="1" x14ac:dyDescent="0.25">
      <c r="A4134" s="171"/>
      <c r="B4134" s="171"/>
      <c r="C4134" s="222"/>
      <c r="D4134" s="119" t="s">
        <v>3040</v>
      </c>
      <c r="E4134" s="440">
        <v>250000000</v>
      </c>
      <c r="F4134" s="538">
        <v>247800000</v>
      </c>
      <c r="G4134" s="276">
        <f t="shared" si="246"/>
        <v>99.11999999999999</v>
      </c>
      <c r="H4134" s="114">
        <v>100</v>
      </c>
      <c r="I4134" s="121"/>
    </row>
    <row r="4135" spans="1:9" s="115" customFormat="1" ht="16.5" hidden="1" customHeight="1" x14ac:dyDescent="0.25">
      <c r="A4135" s="171"/>
      <c r="B4135" s="171"/>
      <c r="C4135" s="222"/>
      <c r="D4135" s="249" t="s">
        <v>418</v>
      </c>
      <c r="E4135" s="441">
        <f>SUM(E4136:E4137)</f>
        <v>500000000</v>
      </c>
      <c r="F4135" s="283">
        <f>+F4136+F4137</f>
        <v>286900000</v>
      </c>
      <c r="G4135" s="297">
        <f t="shared" si="246"/>
        <v>57.379999999999995</v>
      </c>
      <c r="H4135" s="114">
        <v>65</v>
      </c>
      <c r="I4135" s="121"/>
    </row>
    <row r="4136" spans="1:9" ht="16.5" hidden="1" customHeight="1" x14ac:dyDescent="0.25">
      <c r="A4136" s="170"/>
      <c r="B4136" s="170"/>
      <c r="C4136" s="222"/>
      <c r="D4136" s="119" t="s">
        <v>2123</v>
      </c>
      <c r="E4136" s="440">
        <v>200000000</v>
      </c>
      <c r="F4136" s="538">
        <v>199400000</v>
      </c>
      <c r="G4136" s="276">
        <f t="shared" si="246"/>
        <v>99.7</v>
      </c>
      <c r="H4136" s="114">
        <v>100</v>
      </c>
      <c r="I4136" s="111"/>
    </row>
    <row r="4137" spans="1:9" ht="16.5" hidden="1" customHeight="1" x14ac:dyDescent="0.25">
      <c r="A4137" s="170"/>
      <c r="B4137" s="170"/>
      <c r="C4137" s="222"/>
      <c r="D4137" s="119" t="s">
        <v>3041</v>
      </c>
      <c r="E4137" s="440">
        <v>300000000</v>
      </c>
      <c r="F4137" s="538">
        <v>87500000</v>
      </c>
      <c r="G4137" s="276">
        <f t="shared" si="246"/>
        <v>29.166666666666668</v>
      </c>
      <c r="H4137" s="114">
        <v>30</v>
      </c>
      <c r="I4137" s="111"/>
    </row>
    <row r="4138" spans="1:9" s="115" customFormat="1" ht="16.5" hidden="1" customHeight="1" x14ac:dyDescent="0.25">
      <c r="A4138" s="171"/>
      <c r="B4138" s="171"/>
      <c r="C4138" s="222"/>
      <c r="D4138" s="249" t="s">
        <v>768</v>
      </c>
      <c r="E4138" s="441">
        <f>SUM(E4139:E4144)</f>
        <v>3496861640</v>
      </c>
      <c r="F4138" s="283">
        <f>+F4139+F4140+F4142+F4143+F4144</f>
        <v>1546253500</v>
      </c>
      <c r="G4138" s="297">
        <f t="shared" si="246"/>
        <v>44.218320859843914</v>
      </c>
      <c r="H4138" s="114">
        <f>SUM((H4139:H4144))/6</f>
        <v>48.333333333333336</v>
      </c>
      <c r="I4138" s="121"/>
    </row>
    <row r="4139" spans="1:9" ht="16.5" hidden="1" customHeight="1" x14ac:dyDescent="0.25">
      <c r="A4139" s="170"/>
      <c r="B4139" s="170"/>
      <c r="C4139" s="222"/>
      <c r="D4139" s="119" t="s">
        <v>3042</v>
      </c>
      <c r="E4139" s="440">
        <v>847111000</v>
      </c>
      <c r="F4139" s="538">
        <v>747513500</v>
      </c>
      <c r="G4139" s="276">
        <f t="shared" si="246"/>
        <v>88.242686023437315</v>
      </c>
      <c r="H4139" s="114">
        <v>90</v>
      </c>
      <c r="I4139" s="111"/>
    </row>
    <row r="4140" spans="1:9" ht="16.5" hidden="1" customHeight="1" x14ac:dyDescent="0.25">
      <c r="A4140" s="170"/>
      <c r="B4140" s="170"/>
      <c r="C4140" s="222"/>
      <c r="D4140" s="119" t="s">
        <v>3043</v>
      </c>
      <c r="E4140" s="440">
        <v>800000000</v>
      </c>
      <c r="F4140" s="538">
        <v>798740000</v>
      </c>
      <c r="G4140" s="276">
        <f t="shared" si="246"/>
        <v>99.842500000000001</v>
      </c>
      <c r="H4140" s="114">
        <v>100</v>
      </c>
      <c r="I4140" s="111"/>
    </row>
    <row r="4141" spans="1:9" ht="16.5" hidden="1" customHeight="1" x14ac:dyDescent="0.25">
      <c r="A4141" s="170"/>
      <c r="B4141" s="170"/>
      <c r="C4141" s="222"/>
      <c r="D4141" s="119" t="s">
        <v>3044</v>
      </c>
      <c r="E4141" s="440">
        <v>300000000</v>
      </c>
      <c r="F4141" s="538">
        <v>299600000</v>
      </c>
      <c r="G4141" s="276">
        <f t="shared" si="246"/>
        <v>99.866666666666674</v>
      </c>
      <c r="H4141" s="114">
        <v>100</v>
      </c>
      <c r="I4141" s="111"/>
    </row>
    <row r="4142" spans="1:9" ht="16.5" hidden="1" customHeight="1" x14ac:dyDescent="0.25">
      <c r="A4142" s="170"/>
      <c r="B4142" s="170"/>
      <c r="C4142" s="222"/>
      <c r="D4142" s="119" t="s">
        <v>3045</v>
      </c>
      <c r="E4142" s="440">
        <v>800000000</v>
      </c>
      <c r="F4142" s="538">
        <v>0</v>
      </c>
      <c r="G4142" s="276"/>
      <c r="H4142" s="114">
        <f t="shared" si="245"/>
        <v>0</v>
      </c>
      <c r="I4142" s="111"/>
    </row>
    <row r="4143" spans="1:9" ht="16.5" hidden="1" customHeight="1" x14ac:dyDescent="0.25">
      <c r="A4143" s="170"/>
      <c r="B4143" s="170"/>
      <c r="C4143" s="222"/>
      <c r="D4143" s="119" t="s">
        <v>3046</v>
      </c>
      <c r="E4143" s="440">
        <v>500000000</v>
      </c>
      <c r="F4143" s="538">
        <v>0</v>
      </c>
      <c r="G4143" s="276"/>
      <c r="H4143" s="114">
        <f t="shared" si="245"/>
        <v>0</v>
      </c>
      <c r="I4143" s="111"/>
    </row>
    <row r="4144" spans="1:9" ht="16.5" hidden="1" customHeight="1" x14ac:dyDescent="0.25">
      <c r="A4144" s="170"/>
      <c r="B4144" s="170"/>
      <c r="C4144" s="222"/>
      <c r="D4144" s="118" t="s">
        <v>3047</v>
      </c>
      <c r="E4144" s="440">
        <v>249750640</v>
      </c>
      <c r="F4144" s="538">
        <v>0</v>
      </c>
      <c r="G4144" s="276"/>
      <c r="H4144" s="114">
        <f t="shared" si="245"/>
        <v>0</v>
      </c>
      <c r="I4144" s="111"/>
    </row>
    <row r="4145" spans="1:9" ht="16.5" hidden="1" customHeight="1" x14ac:dyDescent="0.25">
      <c r="A4145" s="170"/>
      <c r="B4145" s="170"/>
      <c r="C4145" s="222"/>
      <c r="D4145" s="118"/>
      <c r="E4145" s="440"/>
      <c r="F4145" s="538"/>
      <c r="G4145" s="276"/>
      <c r="H4145" s="114"/>
      <c r="I4145" s="111"/>
    </row>
    <row r="4146" spans="1:9" s="115" customFormat="1" ht="16.5" hidden="1" customHeight="1" x14ac:dyDescent="0.25">
      <c r="A4146" s="171"/>
      <c r="B4146" s="171"/>
      <c r="C4146" s="222"/>
      <c r="D4146" s="249" t="s">
        <v>905</v>
      </c>
      <c r="E4146" s="441">
        <v>450000000</v>
      </c>
      <c r="F4146" s="283">
        <f>+F4147</f>
        <v>150000000</v>
      </c>
      <c r="G4146" s="297">
        <f>F4146/E4146*100</f>
        <v>33.333333333333329</v>
      </c>
      <c r="H4146" s="114">
        <f t="shared" si="245"/>
        <v>33.333333333333329</v>
      </c>
      <c r="I4146" s="121"/>
    </row>
    <row r="4147" spans="1:9" s="115" customFormat="1" ht="16.5" hidden="1" customHeight="1" x14ac:dyDescent="0.25">
      <c r="A4147" s="171"/>
      <c r="B4147" s="171"/>
      <c r="C4147" s="222"/>
      <c r="D4147" s="249" t="s">
        <v>1499</v>
      </c>
      <c r="E4147" s="441">
        <f>SUM(E4148:E4150)</f>
        <v>450000000</v>
      </c>
      <c r="F4147" s="283">
        <f>+F4148+F4149+F4150</f>
        <v>150000000</v>
      </c>
      <c r="G4147" s="297">
        <f>F4147/E4147*100</f>
        <v>33.333333333333329</v>
      </c>
      <c r="H4147" s="114">
        <f t="shared" si="245"/>
        <v>33.333333333333329</v>
      </c>
      <c r="I4147" s="121"/>
    </row>
    <row r="4148" spans="1:9" ht="16.5" hidden="1" customHeight="1" x14ac:dyDescent="0.25">
      <c r="A4148" s="170"/>
      <c r="B4148" s="170"/>
      <c r="C4148" s="222"/>
      <c r="D4148" s="119" t="s">
        <v>3048</v>
      </c>
      <c r="E4148" s="440">
        <v>225000000</v>
      </c>
      <c r="F4148" s="538">
        <v>0</v>
      </c>
      <c r="G4148" s="276"/>
      <c r="H4148" s="114">
        <f t="shared" si="245"/>
        <v>0</v>
      </c>
      <c r="I4148" s="111"/>
    </row>
    <row r="4149" spans="1:9" ht="16.5" hidden="1" customHeight="1" x14ac:dyDescent="0.25">
      <c r="A4149" s="170"/>
      <c r="B4149" s="170"/>
      <c r="C4149" s="222"/>
      <c r="D4149" s="119" t="s">
        <v>3049</v>
      </c>
      <c r="E4149" s="440">
        <v>75000000</v>
      </c>
      <c r="F4149" s="538">
        <v>0</v>
      </c>
      <c r="G4149" s="276"/>
      <c r="H4149" s="114">
        <f t="shared" si="245"/>
        <v>0</v>
      </c>
      <c r="I4149" s="111"/>
    </row>
    <row r="4150" spans="1:9" ht="16.5" hidden="1" customHeight="1" x14ac:dyDescent="0.25">
      <c r="A4150" s="170"/>
      <c r="B4150" s="170"/>
      <c r="C4150" s="222"/>
      <c r="D4150" s="119" t="s">
        <v>3050</v>
      </c>
      <c r="E4150" s="440">
        <v>150000000</v>
      </c>
      <c r="F4150" s="538">
        <v>150000000</v>
      </c>
      <c r="G4150" s="276">
        <f>F4150/E4150*100</f>
        <v>100</v>
      </c>
      <c r="H4150" s="114">
        <f t="shared" ref="H4150:H4205" si="247">+G4150</f>
        <v>100</v>
      </c>
      <c r="I4150" s="111"/>
    </row>
    <row r="4151" spans="1:9" ht="16.5" hidden="1" customHeight="1" x14ac:dyDescent="0.25">
      <c r="A4151" s="170"/>
      <c r="B4151" s="170"/>
      <c r="C4151" s="222"/>
      <c r="D4151" s="118"/>
      <c r="E4151" s="440"/>
      <c r="F4151" s="538">
        <v>0</v>
      </c>
      <c r="G4151" s="276"/>
      <c r="H4151" s="114"/>
      <c r="I4151" s="111"/>
    </row>
    <row r="4152" spans="1:9" s="115" customFormat="1" ht="16.5" hidden="1" customHeight="1" x14ac:dyDescent="0.25">
      <c r="A4152" s="171"/>
      <c r="B4152" s="171"/>
      <c r="C4152" s="222"/>
      <c r="D4152" s="249" t="s">
        <v>1634</v>
      </c>
      <c r="E4152" s="441">
        <f>E4153+E4158+E4163+E4166+E4171+E4174+E4176</f>
        <v>5380000000</v>
      </c>
      <c r="F4152" s="283">
        <f>+F4153+F4158+F4163+F4166+F4171+F4174+F4176</f>
        <v>3579915000</v>
      </c>
      <c r="G4152" s="297">
        <f t="shared" ref="G4152:G4158" si="248">F4152/E4152*100</f>
        <v>66.541171003717466</v>
      </c>
      <c r="H4152" s="114">
        <f>(H4153+H4158+H4163+H4166+H4171+H4174+H4176)/7</f>
        <v>56.040909090909096</v>
      </c>
      <c r="I4152" s="121"/>
    </row>
    <row r="4153" spans="1:9" s="115" customFormat="1" ht="16.5" hidden="1" customHeight="1" x14ac:dyDescent="0.25">
      <c r="A4153" s="171"/>
      <c r="B4153" s="171"/>
      <c r="C4153" s="222"/>
      <c r="D4153" s="249" t="s">
        <v>486</v>
      </c>
      <c r="E4153" s="441">
        <v>1170000000</v>
      </c>
      <c r="F4153" s="283">
        <f>+F4154+F4155+F4156+F4157</f>
        <v>952358000</v>
      </c>
      <c r="G4153" s="297">
        <f t="shared" si="248"/>
        <v>81.398119658119654</v>
      </c>
      <c r="H4153" s="114">
        <f>(H4154+H4155+H4156+H4157)/4</f>
        <v>86.25</v>
      </c>
      <c r="I4153" s="121"/>
    </row>
    <row r="4154" spans="1:9" ht="16.5" hidden="1" customHeight="1" x14ac:dyDescent="0.25">
      <c r="A4154" s="170"/>
      <c r="B4154" s="170"/>
      <c r="C4154" s="222"/>
      <c r="D4154" s="119" t="s">
        <v>771</v>
      </c>
      <c r="E4154" s="440">
        <v>200000000</v>
      </c>
      <c r="F4154" s="538">
        <v>196590000</v>
      </c>
      <c r="G4154" s="276">
        <f t="shared" si="248"/>
        <v>98.295000000000002</v>
      </c>
      <c r="H4154" s="114">
        <v>100</v>
      </c>
      <c r="I4154" s="111"/>
    </row>
    <row r="4155" spans="1:9" ht="16.5" hidden="1" customHeight="1" x14ac:dyDescent="0.25">
      <c r="A4155" s="170"/>
      <c r="B4155" s="170"/>
      <c r="C4155" s="222"/>
      <c r="D4155" s="119" t="s">
        <v>3051</v>
      </c>
      <c r="E4155" s="440">
        <v>270000000</v>
      </c>
      <c r="F4155" s="538">
        <v>248424000</v>
      </c>
      <c r="G4155" s="276">
        <f t="shared" si="248"/>
        <v>92.00888888888889</v>
      </c>
      <c r="H4155" s="114">
        <v>95</v>
      </c>
      <c r="I4155" s="111"/>
    </row>
    <row r="4156" spans="1:9" ht="16.5" hidden="1" customHeight="1" x14ac:dyDescent="0.25">
      <c r="A4156" s="170"/>
      <c r="B4156" s="170"/>
      <c r="C4156" s="222"/>
      <c r="D4156" s="119" t="s">
        <v>3052</v>
      </c>
      <c r="E4156" s="440">
        <v>350000000</v>
      </c>
      <c r="F4156" s="538">
        <v>157344000</v>
      </c>
      <c r="G4156" s="276">
        <f t="shared" si="248"/>
        <v>44.955428571428577</v>
      </c>
      <c r="H4156" s="114">
        <v>50</v>
      </c>
      <c r="I4156" s="111"/>
    </row>
    <row r="4157" spans="1:9" ht="16.5" hidden="1" customHeight="1" x14ac:dyDescent="0.25">
      <c r="A4157" s="170"/>
      <c r="B4157" s="170"/>
      <c r="C4157" s="222"/>
      <c r="D4157" s="119" t="s">
        <v>3053</v>
      </c>
      <c r="E4157" s="440">
        <v>350000000</v>
      </c>
      <c r="F4157" s="538">
        <v>350000000</v>
      </c>
      <c r="G4157" s="276">
        <f t="shared" si="248"/>
        <v>100</v>
      </c>
      <c r="H4157" s="114">
        <f t="shared" si="247"/>
        <v>100</v>
      </c>
      <c r="I4157" s="111"/>
    </row>
    <row r="4158" spans="1:9" s="115" customFormat="1" ht="16.5" hidden="1" customHeight="1" x14ac:dyDescent="0.25">
      <c r="A4158" s="171"/>
      <c r="B4158" s="171"/>
      <c r="C4158" s="222"/>
      <c r="D4158" s="249" t="s">
        <v>1433</v>
      </c>
      <c r="E4158" s="441">
        <v>1050000000</v>
      </c>
      <c r="F4158" s="283">
        <f>+F4159+F4160+F4161+F4162</f>
        <v>885850000</v>
      </c>
      <c r="G4158" s="297">
        <f t="shared" si="248"/>
        <v>84.366666666666674</v>
      </c>
      <c r="H4158" s="114">
        <f>(H4159+H4160+H4161+H4162)/4</f>
        <v>68.75</v>
      </c>
      <c r="I4158" s="121"/>
    </row>
    <row r="4159" spans="1:9" ht="16.5" hidden="1" customHeight="1" x14ac:dyDescent="0.25">
      <c r="A4159" s="170"/>
      <c r="B4159" s="170"/>
      <c r="C4159" s="222"/>
      <c r="D4159" s="119" t="s">
        <v>2850</v>
      </c>
      <c r="E4159" s="440">
        <v>100000000</v>
      </c>
      <c r="F4159" s="538">
        <v>0</v>
      </c>
      <c r="G4159" s="276"/>
      <c r="H4159" s="117"/>
      <c r="I4159" s="111"/>
    </row>
    <row r="4160" spans="1:9" ht="16.5" hidden="1" customHeight="1" x14ac:dyDescent="0.25">
      <c r="A4160" s="170"/>
      <c r="B4160" s="170"/>
      <c r="C4160" s="222"/>
      <c r="D4160" s="119" t="s">
        <v>3054</v>
      </c>
      <c r="E4160" s="440">
        <v>200000000</v>
      </c>
      <c r="F4160" s="538">
        <v>135850000</v>
      </c>
      <c r="G4160" s="276">
        <f t="shared" ref="G4160:G4170" si="249">F4160/E4160*100</f>
        <v>67.924999999999997</v>
      </c>
      <c r="H4160" s="117">
        <v>75</v>
      </c>
      <c r="I4160" s="111"/>
    </row>
    <row r="4161" spans="1:9" ht="16.5" hidden="1" customHeight="1" x14ac:dyDescent="0.25">
      <c r="A4161" s="170"/>
      <c r="B4161" s="170"/>
      <c r="C4161" s="222"/>
      <c r="D4161" s="119" t="s">
        <v>3055</v>
      </c>
      <c r="E4161" s="440">
        <v>450000000</v>
      </c>
      <c r="F4161" s="538">
        <v>450000000</v>
      </c>
      <c r="G4161" s="276">
        <f t="shared" si="249"/>
        <v>100</v>
      </c>
      <c r="H4161" s="117">
        <f t="shared" si="247"/>
        <v>100</v>
      </c>
      <c r="I4161" s="111"/>
    </row>
    <row r="4162" spans="1:9" ht="16.5" hidden="1" customHeight="1" x14ac:dyDescent="0.25">
      <c r="A4162" s="170"/>
      <c r="B4162" s="170"/>
      <c r="C4162" s="222"/>
      <c r="D4162" s="119" t="s">
        <v>3056</v>
      </c>
      <c r="E4162" s="440">
        <v>300000000</v>
      </c>
      <c r="F4162" s="538">
        <v>300000000</v>
      </c>
      <c r="G4162" s="276">
        <f t="shared" si="249"/>
        <v>100</v>
      </c>
      <c r="H4162" s="117">
        <f t="shared" si="247"/>
        <v>100</v>
      </c>
      <c r="I4162" s="111"/>
    </row>
    <row r="4163" spans="1:9" s="115" customFormat="1" ht="16.5" hidden="1" customHeight="1" x14ac:dyDescent="0.25">
      <c r="A4163" s="171"/>
      <c r="B4163" s="171"/>
      <c r="C4163" s="222"/>
      <c r="D4163" s="249" t="s">
        <v>468</v>
      </c>
      <c r="E4163" s="441">
        <v>1070000000</v>
      </c>
      <c r="F4163" s="283">
        <f>+F4164+F4165</f>
        <v>503954000</v>
      </c>
      <c r="G4163" s="297">
        <f t="shared" si="249"/>
        <v>47.098504672897192</v>
      </c>
      <c r="H4163" s="114">
        <f>(H4164+H4165)/2</f>
        <v>55</v>
      </c>
      <c r="I4163" s="121"/>
    </row>
    <row r="4164" spans="1:9" ht="16.5" hidden="1" customHeight="1" x14ac:dyDescent="0.25">
      <c r="A4164" s="170"/>
      <c r="B4164" s="170"/>
      <c r="C4164" s="222"/>
      <c r="D4164" s="118" t="s">
        <v>3057</v>
      </c>
      <c r="E4164" s="440">
        <v>500000000</v>
      </c>
      <c r="F4164" s="538">
        <v>354024000</v>
      </c>
      <c r="G4164" s="276">
        <f t="shared" si="249"/>
        <v>70.8048</v>
      </c>
      <c r="H4164" s="117">
        <v>75</v>
      </c>
      <c r="I4164" s="111"/>
    </row>
    <row r="4165" spans="1:9" ht="16.5" hidden="1" customHeight="1" x14ac:dyDescent="0.25">
      <c r="A4165" s="170"/>
      <c r="B4165" s="170"/>
      <c r="C4165" s="222"/>
      <c r="D4165" s="119" t="s">
        <v>3058</v>
      </c>
      <c r="E4165" s="440">
        <v>570000000</v>
      </c>
      <c r="F4165" s="538">
        <v>149930000</v>
      </c>
      <c r="G4165" s="276">
        <f t="shared" si="249"/>
        <v>26.303508771929824</v>
      </c>
      <c r="H4165" s="117">
        <v>35</v>
      </c>
      <c r="I4165" s="111"/>
    </row>
    <row r="4166" spans="1:9" s="115" customFormat="1" ht="16.5" hidden="1" customHeight="1" x14ac:dyDescent="0.25">
      <c r="A4166" s="171"/>
      <c r="B4166" s="171"/>
      <c r="C4166" s="222"/>
      <c r="D4166" s="249" t="s">
        <v>496</v>
      </c>
      <c r="E4166" s="441">
        <v>1200000000</v>
      </c>
      <c r="F4166" s="283">
        <f>+F4167+F4168+F4169+F4170</f>
        <v>982053000</v>
      </c>
      <c r="G4166" s="297">
        <f t="shared" si="249"/>
        <v>81.83775</v>
      </c>
      <c r="H4166" s="114">
        <f>(H4167+H4168+H4169+H4170)/4</f>
        <v>81.25</v>
      </c>
      <c r="I4166" s="121"/>
    </row>
    <row r="4167" spans="1:9" ht="16.5" hidden="1" customHeight="1" x14ac:dyDescent="0.25">
      <c r="A4167" s="170"/>
      <c r="B4167" s="170"/>
      <c r="C4167" s="222"/>
      <c r="D4167" s="119" t="s">
        <v>3059</v>
      </c>
      <c r="E4167" s="440">
        <v>208000000</v>
      </c>
      <c r="F4167" s="538">
        <v>194500000</v>
      </c>
      <c r="G4167" s="276">
        <f t="shared" si="249"/>
        <v>93.509615384615387</v>
      </c>
      <c r="H4167" s="117">
        <v>100</v>
      </c>
      <c r="I4167" s="111"/>
    </row>
    <row r="4168" spans="1:9" ht="16.5" hidden="1" customHeight="1" x14ac:dyDescent="0.25">
      <c r="A4168" s="170"/>
      <c r="B4168" s="170"/>
      <c r="C4168" s="222"/>
      <c r="D4168" s="119" t="s">
        <v>3060</v>
      </c>
      <c r="E4168" s="440">
        <v>450000000</v>
      </c>
      <c r="F4168" s="538">
        <v>449825000</v>
      </c>
      <c r="G4168" s="276">
        <f t="shared" si="249"/>
        <v>99.961111111111109</v>
      </c>
      <c r="H4168" s="117">
        <v>100</v>
      </c>
      <c r="I4168" s="111"/>
    </row>
    <row r="4169" spans="1:9" ht="16.5" hidden="1" customHeight="1" x14ac:dyDescent="0.25">
      <c r="A4169" s="170"/>
      <c r="B4169" s="170"/>
      <c r="C4169" s="222"/>
      <c r="D4169" s="119" t="s">
        <v>3061</v>
      </c>
      <c r="E4169" s="440">
        <v>250000000</v>
      </c>
      <c r="F4169" s="538">
        <v>121400000</v>
      </c>
      <c r="G4169" s="276">
        <f t="shared" si="249"/>
        <v>48.559999999999995</v>
      </c>
      <c r="H4169" s="117">
        <v>50</v>
      </c>
      <c r="I4169" s="111"/>
    </row>
    <row r="4170" spans="1:9" ht="18.75" hidden="1" customHeight="1" x14ac:dyDescent="0.25">
      <c r="A4170" s="170"/>
      <c r="B4170" s="170"/>
      <c r="C4170" s="222"/>
      <c r="D4170" s="119" t="s">
        <v>3062</v>
      </c>
      <c r="E4170" s="440">
        <v>292000000</v>
      </c>
      <c r="F4170" s="538">
        <v>216328000</v>
      </c>
      <c r="G4170" s="276">
        <f t="shared" si="249"/>
        <v>74.084931506849315</v>
      </c>
      <c r="H4170" s="117">
        <v>75</v>
      </c>
      <c r="I4170" s="111"/>
    </row>
    <row r="4171" spans="1:9" s="115" customFormat="1" ht="18.75" hidden="1" customHeight="1" x14ac:dyDescent="0.25">
      <c r="A4171" s="171"/>
      <c r="B4171" s="171"/>
      <c r="C4171" s="222"/>
      <c r="D4171" s="249" t="s">
        <v>517</v>
      </c>
      <c r="E4171" s="441">
        <v>550000000</v>
      </c>
      <c r="F4171" s="283">
        <f>+F4172+F4173</f>
        <v>5700000</v>
      </c>
      <c r="G4171" s="297">
        <f>+F4171/E4171*100</f>
        <v>1.0363636363636364</v>
      </c>
      <c r="H4171" s="114">
        <f t="shared" si="247"/>
        <v>1.0363636363636364</v>
      </c>
      <c r="I4171" s="121"/>
    </row>
    <row r="4172" spans="1:9" ht="18.75" hidden="1" customHeight="1" x14ac:dyDescent="0.25">
      <c r="A4172" s="170"/>
      <c r="B4172" s="170"/>
      <c r="C4172" s="222"/>
      <c r="D4172" s="119" t="s">
        <v>1431</v>
      </c>
      <c r="E4172" s="440">
        <v>400000000</v>
      </c>
      <c r="F4172" s="538">
        <v>5700000</v>
      </c>
      <c r="G4172" s="276"/>
      <c r="H4172" s="117">
        <f t="shared" si="247"/>
        <v>0</v>
      </c>
      <c r="I4172" s="111"/>
    </row>
    <row r="4173" spans="1:9" ht="16.5" hidden="1" customHeight="1" x14ac:dyDescent="0.25">
      <c r="A4173" s="170"/>
      <c r="B4173" s="170"/>
      <c r="C4173" s="222"/>
      <c r="D4173" s="119" t="s">
        <v>3063</v>
      </c>
      <c r="E4173" s="440">
        <v>150000000</v>
      </c>
      <c r="F4173" s="538">
        <v>0</v>
      </c>
      <c r="G4173" s="276"/>
      <c r="H4173" s="117">
        <f t="shared" si="247"/>
        <v>0</v>
      </c>
      <c r="I4173" s="111"/>
    </row>
    <row r="4174" spans="1:9" s="115" customFormat="1" ht="16.5" hidden="1" customHeight="1" x14ac:dyDescent="0.25">
      <c r="A4174" s="171"/>
      <c r="B4174" s="171"/>
      <c r="C4174" s="222"/>
      <c r="D4174" s="249" t="s">
        <v>524</v>
      </c>
      <c r="E4174" s="441">
        <v>90000000</v>
      </c>
      <c r="F4174" s="283">
        <v>0</v>
      </c>
      <c r="G4174" s="297"/>
      <c r="H4174" s="117">
        <f t="shared" si="247"/>
        <v>0</v>
      </c>
      <c r="I4174" s="121"/>
    </row>
    <row r="4175" spans="1:9" s="115" customFormat="1" ht="16.5" hidden="1" customHeight="1" x14ac:dyDescent="0.25">
      <c r="A4175" s="171"/>
      <c r="B4175" s="171"/>
      <c r="C4175" s="222"/>
      <c r="D4175" s="119" t="s">
        <v>1423</v>
      </c>
      <c r="E4175" s="440">
        <v>90000000</v>
      </c>
      <c r="F4175" s="538">
        <v>0</v>
      </c>
      <c r="G4175" s="276"/>
      <c r="H4175" s="117">
        <f t="shared" si="247"/>
        <v>0</v>
      </c>
      <c r="I4175" s="121"/>
    </row>
    <row r="4176" spans="1:9" s="115" customFormat="1" ht="16.5" hidden="1" customHeight="1" x14ac:dyDescent="0.25">
      <c r="A4176" s="171"/>
      <c r="B4176" s="171"/>
      <c r="C4176" s="222"/>
      <c r="D4176" s="249" t="s">
        <v>3064</v>
      </c>
      <c r="E4176" s="441">
        <v>250000000</v>
      </c>
      <c r="F4176" s="283">
        <f>+F4177</f>
        <v>250000000</v>
      </c>
      <c r="G4176" s="297">
        <f>F4176/E4176*100</f>
        <v>100</v>
      </c>
      <c r="H4176" s="114">
        <f t="shared" si="247"/>
        <v>100</v>
      </c>
      <c r="I4176" s="121"/>
    </row>
    <row r="4177" spans="1:9" ht="16.5" hidden="1" customHeight="1" x14ac:dyDescent="0.25">
      <c r="A4177" s="170"/>
      <c r="B4177" s="170"/>
      <c r="C4177" s="222"/>
      <c r="D4177" s="119" t="s">
        <v>3065</v>
      </c>
      <c r="E4177" s="440">
        <v>250000000</v>
      </c>
      <c r="F4177" s="538">
        <v>250000000</v>
      </c>
      <c r="G4177" s="276">
        <f>F4177/E4177*100</f>
        <v>100</v>
      </c>
      <c r="H4177" s="114">
        <f t="shared" si="247"/>
        <v>100</v>
      </c>
      <c r="I4177" s="111"/>
    </row>
    <row r="4178" spans="1:9" s="115" customFormat="1" ht="16.5" hidden="1" customHeight="1" x14ac:dyDescent="0.25">
      <c r="A4178" s="171"/>
      <c r="B4178" s="171"/>
      <c r="C4178" s="222"/>
      <c r="D4178" s="118"/>
      <c r="E4178" s="440"/>
      <c r="F4178" s="538"/>
      <c r="G4178" s="276"/>
      <c r="H4178" s="114"/>
      <c r="I4178" s="121"/>
    </row>
    <row r="4179" spans="1:9" s="115" customFormat="1" ht="16.5" hidden="1" customHeight="1" x14ac:dyDescent="0.25">
      <c r="A4179" s="171"/>
      <c r="B4179" s="171"/>
      <c r="C4179" s="222"/>
      <c r="D4179" s="249" t="s">
        <v>549</v>
      </c>
      <c r="E4179" s="441">
        <v>9602688800</v>
      </c>
      <c r="F4179" s="283">
        <f>+F4180</f>
        <v>9474324000</v>
      </c>
      <c r="G4179" s="297">
        <f>F4179/E4179*100</f>
        <v>98.663241070563487</v>
      </c>
      <c r="H4179" s="114">
        <f>H4180</f>
        <v>100</v>
      </c>
      <c r="I4179" s="121"/>
    </row>
    <row r="4180" spans="1:9" s="115" customFormat="1" ht="16.5" hidden="1" customHeight="1" x14ac:dyDescent="0.25">
      <c r="A4180" s="171"/>
      <c r="B4180" s="171"/>
      <c r="C4180" s="222"/>
      <c r="D4180" s="249" t="s">
        <v>2500</v>
      </c>
      <c r="E4180" s="441">
        <v>9602688800</v>
      </c>
      <c r="F4180" s="283">
        <f>+F4181</f>
        <v>9474324000</v>
      </c>
      <c r="G4180" s="297">
        <f>F4180/E4180*100</f>
        <v>98.663241070563487</v>
      </c>
      <c r="H4180" s="114">
        <f>H4181</f>
        <v>100</v>
      </c>
      <c r="I4180" s="121"/>
    </row>
    <row r="4181" spans="1:9" ht="16.5" hidden="1" customHeight="1" x14ac:dyDescent="0.25">
      <c r="A4181" s="170"/>
      <c r="B4181" s="170"/>
      <c r="C4181" s="222"/>
      <c r="D4181" s="119" t="s">
        <v>3066</v>
      </c>
      <c r="E4181" s="440">
        <v>9602688800</v>
      </c>
      <c r="F4181" s="538">
        <v>9474324000</v>
      </c>
      <c r="G4181" s="276">
        <f>F4181/E4181*100</f>
        <v>98.663241070563487</v>
      </c>
      <c r="H4181" s="117">
        <v>100</v>
      </c>
      <c r="I4181" s="111"/>
    </row>
    <row r="4182" spans="1:9" ht="16.5" hidden="1" customHeight="1" x14ac:dyDescent="0.25">
      <c r="A4182" s="170"/>
      <c r="B4182" s="170"/>
      <c r="C4182" s="222"/>
      <c r="D4182" s="119"/>
      <c r="E4182" s="440"/>
      <c r="F4182" s="538">
        <v>0</v>
      </c>
      <c r="G4182" s="276"/>
      <c r="H4182" s="114"/>
      <c r="I4182" s="111"/>
    </row>
    <row r="4183" spans="1:9" s="115" customFormat="1" ht="16.5" hidden="1" customHeight="1" x14ac:dyDescent="0.25">
      <c r="A4183" s="171"/>
      <c r="B4183" s="171"/>
      <c r="C4183" s="222"/>
      <c r="D4183" s="249" t="s">
        <v>549</v>
      </c>
      <c r="E4183" s="441">
        <v>316050000</v>
      </c>
      <c r="F4183" s="283">
        <f>+F4184</f>
        <v>316050000</v>
      </c>
      <c r="G4183" s="297">
        <f>F4183/E4183*100</f>
        <v>100</v>
      </c>
      <c r="H4183" s="114">
        <f t="shared" si="247"/>
        <v>100</v>
      </c>
      <c r="I4183" s="121"/>
    </row>
    <row r="4184" spans="1:9" s="115" customFormat="1" ht="16.5" hidden="1" customHeight="1" x14ac:dyDescent="0.25">
      <c r="A4184" s="171"/>
      <c r="B4184" s="171"/>
      <c r="C4184" s="222"/>
      <c r="D4184" s="249" t="s">
        <v>2837</v>
      </c>
      <c r="E4184" s="441">
        <f>SUM(E4185:E4186)</f>
        <v>316050000</v>
      </c>
      <c r="F4184" s="283">
        <f>+F4185+F4186</f>
        <v>316050000</v>
      </c>
      <c r="G4184" s="297">
        <f>F4184/E4184*100</f>
        <v>100</v>
      </c>
      <c r="H4184" s="114">
        <f t="shared" si="247"/>
        <v>100</v>
      </c>
      <c r="I4184" s="121"/>
    </row>
    <row r="4185" spans="1:9" ht="16.5" hidden="1" customHeight="1" x14ac:dyDescent="0.25">
      <c r="A4185" s="170"/>
      <c r="B4185" s="170"/>
      <c r="C4185" s="222"/>
      <c r="D4185" s="118" t="s">
        <v>3067</v>
      </c>
      <c r="E4185" s="440">
        <v>90300000</v>
      </c>
      <c r="F4185" s="538">
        <v>90300000</v>
      </c>
      <c r="G4185" s="276">
        <f>F4185/E4185*100</f>
        <v>100</v>
      </c>
      <c r="H4185" s="117">
        <f t="shared" si="247"/>
        <v>100</v>
      </c>
      <c r="I4185" s="111"/>
    </row>
    <row r="4186" spans="1:9" ht="16.5" hidden="1" customHeight="1" x14ac:dyDescent="0.25">
      <c r="A4186" s="170"/>
      <c r="B4186" s="170"/>
      <c r="C4186" s="222"/>
      <c r="D4186" s="119" t="s">
        <v>3068</v>
      </c>
      <c r="E4186" s="440">
        <v>225750000</v>
      </c>
      <c r="F4186" s="538">
        <v>225750000</v>
      </c>
      <c r="G4186" s="276">
        <f>F4186/E4186*100</f>
        <v>100</v>
      </c>
      <c r="H4186" s="117">
        <f t="shared" si="247"/>
        <v>100</v>
      </c>
      <c r="I4186" s="111"/>
    </row>
    <row r="4187" spans="1:9" ht="16.5" hidden="1" customHeight="1" x14ac:dyDescent="0.25">
      <c r="A4187" s="170"/>
      <c r="B4187" s="170"/>
      <c r="C4187" s="222"/>
      <c r="D4187" s="119"/>
      <c r="E4187" s="440"/>
      <c r="F4187" s="538">
        <v>0</v>
      </c>
      <c r="G4187" s="276"/>
      <c r="H4187" s="114"/>
      <c r="I4187" s="111"/>
    </row>
    <row r="4188" spans="1:9" s="115" customFormat="1" ht="16.5" hidden="1" customHeight="1" x14ac:dyDescent="0.25">
      <c r="A4188" s="171"/>
      <c r="B4188" s="171"/>
      <c r="C4188" s="222"/>
      <c r="D4188" s="249" t="s">
        <v>549</v>
      </c>
      <c r="E4188" s="441">
        <v>533950000</v>
      </c>
      <c r="F4188" s="283">
        <f>+F4189</f>
        <v>530375000</v>
      </c>
      <c r="G4188" s="297">
        <f>F4188/E4188*100</f>
        <v>99.330461653712902</v>
      </c>
      <c r="H4188" s="114">
        <f>H4189</f>
        <v>33.33</v>
      </c>
      <c r="I4188" s="121"/>
    </row>
    <row r="4189" spans="1:9" s="115" customFormat="1" ht="16.5" hidden="1" customHeight="1" x14ac:dyDescent="0.25">
      <c r="A4189" s="171"/>
      <c r="B4189" s="171"/>
      <c r="C4189" s="222"/>
      <c r="D4189" s="249" t="s">
        <v>1671</v>
      </c>
      <c r="E4189" s="441">
        <v>533950000</v>
      </c>
      <c r="F4189" s="283">
        <f>+F4190+F4191+F4192</f>
        <v>530375000</v>
      </c>
      <c r="G4189" s="297">
        <f>F4189/E4189*100</f>
        <v>99.330461653712902</v>
      </c>
      <c r="H4189" s="114">
        <v>33.33</v>
      </c>
      <c r="I4189" s="121"/>
    </row>
    <row r="4190" spans="1:9" ht="18.75" hidden="1" customHeight="1" x14ac:dyDescent="0.25">
      <c r="A4190" s="170"/>
      <c r="B4190" s="170"/>
      <c r="C4190" s="222"/>
      <c r="D4190" s="118" t="s">
        <v>3069</v>
      </c>
      <c r="E4190" s="440">
        <v>152840000</v>
      </c>
      <c r="F4190" s="538">
        <v>152840000</v>
      </c>
      <c r="G4190" s="276">
        <f>F4190/E4190*100</f>
        <v>100</v>
      </c>
      <c r="H4190" s="117">
        <f t="shared" si="247"/>
        <v>100</v>
      </c>
      <c r="I4190" s="111"/>
    </row>
    <row r="4191" spans="1:9" ht="16.5" hidden="1" customHeight="1" x14ac:dyDescent="0.25">
      <c r="A4191" s="170"/>
      <c r="B4191" s="170"/>
      <c r="C4191" s="222"/>
      <c r="D4191" s="119" t="s">
        <v>3070</v>
      </c>
      <c r="E4191" s="539">
        <v>132545000</v>
      </c>
      <c r="F4191" s="538">
        <v>132545000</v>
      </c>
      <c r="G4191" s="276">
        <f>F4191/E4191*100</f>
        <v>100</v>
      </c>
      <c r="H4191" s="117">
        <v>100</v>
      </c>
      <c r="I4191" s="111"/>
    </row>
    <row r="4192" spans="1:9" ht="16.5" hidden="1" customHeight="1" x14ac:dyDescent="0.25">
      <c r="A4192" s="170"/>
      <c r="B4192" s="170"/>
      <c r="C4192" s="222"/>
      <c r="D4192" s="118" t="s">
        <v>3071</v>
      </c>
      <c r="E4192" s="440">
        <v>248565000</v>
      </c>
      <c r="F4192" s="538">
        <v>244990000</v>
      </c>
      <c r="G4192" s="276">
        <f>F4192/E4192*100</f>
        <v>98.561744412930224</v>
      </c>
      <c r="H4192" s="117">
        <f>+G4192</f>
        <v>98.561744412930224</v>
      </c>
      <c r="I4192" s="111"/>
    </row>
    <row r="4193" spans="1:9" ht="16.5" hidden="1" customHeight="1" x14ac:dyDescent="0.25">
      <c r="A4193" s="170"/>
      <c r="B4193" s="170"/>
      <c r="C4193" s="222"/>
      <c r="D4193" s="118"/>
      <c r="E4193" s="440"/>
      <c r="F4193" s="538">
        <v>0</v>
      </c>
      <c r="G4193" s="276"/>
      <c r="H4193" s="114"/>
      <c r="I4193" s="111"/>
    </row>
    <row r="4194" spans="1:9" s="115" customFormat="1" ht="16.5" hidden="1" customHeight="1" x14ac:dyDescent="0.25">
      <c r="A4194" s="171"/>
      <c r="B4194" s="171"/>
      <c r="C4194" s="222"/>
      <c r="D4194" s="249" t="s">
        <v>630</v>
      </c>
      <c r="E4194" s="441">
        <f>E4195+E4197</f>
        <v>1730268880</v>
      </c>
      <c r="F4194" s="283">
        <f>+F4195+F4197</f>
        <v>1346385000</v>
      </c>
      <c r="G4194" s="297">
        <f>F4194/E4194*100</f>
        <v>77.813628596267648</v>
      </c>
      <c r="H4194" s="114">
        <v>50</v>
      </c>
      <c r="I4194" s="121"/>
    </row>
    <row r="4195" spans="1:9" s="115" customFormat="1" ht="16.5" hidden="1" customHeight="1" x14ac:dyDescent="0.25">
      <c r="A4195" s="171"/>
      <c r="B4195" s="171"/>
      <c r="C4195" s="222"/>
      <c r="D4195" s="249" t="s">
        <v>217</v>
      </c>
      <c r="E4195" s="441">
        <v>230107760</v>
      </c>
      <c r="F4195" s="283">
        <v>0</v>
      </c>
      <c r="G4195" s="297"/>
      <c r="H4195" s="114">
        <f t="shared" si="247"/>
        <v>0</v>
      </c>
      <c r="I4195" s="121"/>
    </row>
    <row r="4196" spans="1:9" ht="16.5" hidden="1" customHeight="1" x14ac:dyDescent="0.25">
      <c r="A4196" s="170"/>
      <c r="B4196" s="170"/>
      <c r="C4196" s="222"/>
      <c r="D4196" s="119" t="s">
        <v>3072</v>
      </c>
      <c r="E4196" s="440">
        <v>230107760</v>
      </c>
      <c r="F4196" s="538">
        <v>0</v>
      </c>
      <c r="G4196" s="276"/>
      <c r="H4196" s="114">
        <f t="shared" si="247"/>
        <v>0</v>
      </c>
      <c r="I4196" s="111"/>
    </row>
    <row r="4197" spans="1:9" s="115" customFormat="1" ht="16.5" hidden="1" customHeight="1" x14ac:dyDescent="0.25">
      <c r="A4197" s="171"/>
      <c r="B4197" s="171"/>
      <c r="C4197" s="222"/>
      <c r="D4197" s="249" t="s">
        <v>954</v>
      </c>
      <c r="E4197" s="441">
        <v>1500161120</v>
      </c>
      <c r="F4197" s="283">
        <f>+F4198+F4199</f>
        <v>1346385000</v>
      </c>
      <c r="G4197" s="297">
        <f>F4197/E4197*100</f>
        <v>89.749359722107712</v>
      </c>
      <c r="H4197" s="114">
        <f t="shared" si="247"/>
        <v>89.749359722107712</v>
      </c>
      <c r="I4197" s="121"/>
    </row>
    <row r="4198" spans="1:9" ht="16.5" hidden="1" customHeight="1" x14ac:dyDescent="0.25">
      <c r="A4198" s="170"/>
      <c r="B4198" s="170"/>
      <c r="C4198" s="222"/>
      <c r="D4198" s="119" t="s">
        <v>3073</v>
      </c>
      <c r="E4198" s="440">
        <v>773041000</v>
      </c>
      <c r="F4198" s="538">
        <v>620661000</v>
      </c>
      <c r="G4198" s="276">
        <f>F4198/E4198*100</f>
        <v>80.288238269380273</v>
      </c>
      <c r="H4198" s="114">
        <f t="shared" si="247"/>
        <v>80.288238269380273</v>
      </c>
      <c r="I4198" s="111"/>
    </row>
    <row r="4199" spans="1:9" ht="16.5" hidden="1" customHeight="1" x14ac:dyDescent="0.25">
      <c r="A4199" s="170"/>
      <c r="B4199" s="170"/>
      <c r="C4199" s="222"/>
      <c r="D4199" s="119" t="s">
        <v>3074</v>
      </c>
      <c r="E4199" s="440">
        <v>727120120</v>
      </c>
      <c r="F4199" s="538">
        <v>725724000</v>
      </c>
      <c r="G4199" s="276">
        <f>F4199/E4199*100</f>
        <v>99.807993210255276</v>
      </c>
      <c r="H4199" s="117">
        <f t="shared" si="247"/>
        <v>99.807993210255276</v>
      </c>
      <c r="I4199" s="111"/>
    </row>
    <row r="4200" spans="1:9" ht="16.5" hidden="1" customHeight="1" x14ac:dyDescent="0.25">
      <c r="A4200" s="170"/>
      <c r="B4200" s="170"/>
      <c r="C4200" s="222"/>
      <c r="D4200" s="118"/>
      <c r="E4200" s="440"/>
      <c r="F4200" s="538">
        <v>0</v>
      </c>
      <c r="G4200" s="276"/>
      <c r="H4200" s="114"/>
      <c r="I4200" s="111"/>
    </row>
    <row r="4201" spans="1:9" s="115" customFormat="1" ht="16.5" hidden="1" customHeight="1" x14ac:dyDescent="0.25">
      <c r="A4201" s="171"/>
      <c r="B4201" s="171"/>
      <c r="C4201" s="222"/>
      <c r="D4201" s="249" t="s">
        <v>3075</v>
      </c>
      <c r="E4201" s="441">
        <f>+E4202+E4204</f>
        <v>400000000</v>
      </c>
      <c r="F4201" s="283">
        <f>+F4202+F4204</f>
        <v>50000000</v>
      </c>
      <c r="G4201" s="297">
        <f>F4201/E4201*100</f>
        <v>12.5</v>
      </c>
      <c r="H4201" s="114">
        <v>25</v>
      </c>
      <c r="I4201" s="121"/>
    </row>
    <row r="4202" spans="1:9" s="115" customFormat="1" ht="16.5" hidden="1" customHeight="1" x14ac:dyDescent="0.25">
      <c r="A4202" s="171"/>
      <c r="B4202" s="171"/>
      <c r="C4202" s="222"/>
      <c r="D4202" s="249" t="s">
        <v>3076</v>
      </c>
      <c r="E4202" s="441">
        <f>+E4203</f>
        <v>150000000</v>
      </c>
      <c r="F4202" s="283">
        <f>+F4203</f>
        <v>50000000</v>
      </c>
      <c r="G4202" s="297">
        <f>F4202/E4202*100</f>
        <v>33.333333333333329</v>
      </c>
      <c r="H4202" s="114">
        <v>50</v>
      </c>
      <c r="I4202" s="121"/>
    </row>
    <row r="4203" spans="1:9" ht="16.5" hidden="1" customHeight="1" x14ac:dyDescent="0.25">
      <c r="A4203" s="170"/>
      <c r="B4203" s="170"/>
      <c r="C4203" s="222"/>
      <c r="D4203" s="118" t="s">
        <v>3077</v>
      </c>
      <c r="E4203" s="442">
        <v>150000000</v>
      </c>
      <c r="F4203" s="538">
        <v>50000000</v>
      </c>
      <c r="G4203" s="276">
        <f>F4203/E4203*100</f>
        <v>33.333333333333329</v>
      </c>
      <c r="H4203" s="114">
        <v>50</v>
      </c>
      <c r="I4203" s="111"/>
    </row>
    <row r="4204" spans="1:9" s="115" customFormat="1" ht="21.75" hidden="1" customHeight="1" x14ac:dyDescent="0.25">
      <c r="A4204" s="171"/>
      <c r="B4204" s="171"/>
      <c r="C4204" s="222"/>
      <c r="D4204" s="249" t="s">
        <v>3078</v>
      </c>
      <c r="E4204" s="441">
        <f>+E4205</f>
        <v>250000000</v>
      </c>
      <c r="F4204" s="283">
        <v>0</v>
      </c>
      <c r="G4204" s="297"/>
      <c r="H4204" s="114">
        <f t="shared" si="247"/>
        <v>0</v>
      </c>
      <c r="I4204" s="121"/>
    </row>
    <row r="4205" spans="1:9" ht="16.5" hidden="1" customHeight="1" x14ac:dyDescent="0.25">
      <c r="A4205" s="170"/>
      <c r="B4205" s="170"/>
      <c r="C4205" s="222"/>
      <c r="D4205" s="118" t="s">
        <v>3079</v>
      </c>
      <c r="E4205" s="442">
        <v>250000000</v>
      </c>
      <c r="F4205" s="538">
        <v>0</v>
      </c>
      <c r="G4205" s="276"/>
      <c r="H4205" s="114">
        <f t="shared" si="247"/>
        <v>0</v>
      </c>
      <c r="I4205" s="111"/>
    </row>
    <row r="4206" spans="1:9" ht="16.5" hidden="1" customHeight="1" x14ac:dyDescent="0.25">
      <c r="A4206" s="170"/>
      <c r="B4206" s="170"/>
      <c r="C4206" s="222"/>
      <c r="D4206" s="48"/>
      <c r="E4206" s="107"/>
      <c r="F4206" s="108"/>
      <c r="G4206" s="117"/>
      <c r="H4206" s="117"/>
      <c r="I4206" s="111"/>
    </row>
    <row r="4207" spans="1:9" ht="16.5" customHeight="1" x14ac:dyDescent="0.25">
      <c r="A4207" s="170"/>
      <c r="B4207" s="170"/>
      <c r="C4207" s="222" t="s">
        <v>3080</v>
      </c>
      <c r="D4207" s="325" t="s">
        <v>3081</v>
      </c>
      <c r="E4207" s="113">
        <f>+E4208+E4232+E4262+E4266+E4270+E4274+E4278+E4286+E4290+E4298+E4302+E4316+E4320+E4330</f>
        <v>100603895000</v>
      </c>
      <c r="F4207" s="113">
        <f>+F4208+F4232+F4262+F4266+F4270+F4274+F4278+F4286+F4290+F4298+F4302+F4316+F4320+F4330</f>
        <v>94424968860</v>
      </c>
      <c r="G4207" s="114">
        <f>+F4207/E4207*100</f>
        <v>93.858164099908862</v>
      </c>
      <c r="H4207" s="114">
        <f>(H4208+H4232+H4262+H4266+H4270+H4274+H4278+H4286+H4290+H4298+H4302+H4316+H4320+H4330)/14</f>
        <v>95.469721486302646</v>
      </c>
      <c r="I4207" s="111"/>
    </row>
    <row r="4208" spans="1:9" ht="16.5" hidden="1" customHeight="1" x14ac:dyDescent="0.25">
      <c r="A4208" s="170"/>
      <c r="B4208" s="170"/>
      <c r="C4208" s="222"/>
      <c r="D4208" s="325" t="s">
        <v>82</v>
      </c>
      <c r="E4208" s="112">
        <v>30181168500</v>
      </c>
      <c r="F4208" s="242">
        <f>F4209+F4211+F4223+F4226+F4229</f>
        <v>28562118610</v>
      </c>
      <c r="G4208" s="246">
        <f t="shared" ref="G4208:G4230" si="250">F4208/E4208*100</f>
        <v>94.635562602554629</v>
      </c>
      <c r="H4208" s="246">
        <v>94.635562602554629</v>
      </c>
      <c r="I4208" s="111"/>
    </row>
    <row r="4209" spans="1:9" ht="16.5" hidden="1" customHeight="1" x14ac:dyDescent="0.25">
      <c r="A4209" s="170"/>
      <c r="B4209" s="170"/>
      <c r="C4209" s="222"/>
      <c r="D4209" s="325" t="s">
        <v>3082</v>
      </c>
      <c r="E4209" s="112">
        <v>900000000</v>
      </c>
      <c r="F4209" s="242">
        <f>F4210</f>
        <v>900000000</v>
      </c>
      <c r="G4209" s="246">
        <f t="shared" si="250"/>
        <v>100</v>
      </c>
      <c r="H4209" s="246">
        <v>100</v>
      </c>
      <c r="I4209" s="111"/>
    </row>
    <row r="4210" spans="1:9" ht="16.5" hidden="1" customHeight="1" x14ac:dyDescent="0.25">
      <c r="A4210" s="170"/>
      <c r="B4210" s="170"/>
      <c r="C4210" s="222"/>
      <c r="D4210" s="326" t="s">
        <v>3083</v>
      </c>
      <c r="E4210" s="172">
        <v>900000000</v>
      </c>
      <c r="F4210" s="243">
        <v>900000000</v>
      </c>
      <c r="G4210" s="247">
        <f t="shared" si="250"/>
        <v>100</v>
      </c>
      <c r="H4210" s="247">
        <v>100</v>
      </c>
      <c r="I4210" s="111"/>
    </row>
    <row r="4211" spans="1:9" ht="16.5" hidden="1" customHeight="1" x14ac:dyDescent="0.25">
      <c r="A4211" s="170"/>
      <c r="B4211" s="170"/>
      <c r="C4211" s="222"/>
      <c r="D4211" s="325" t="s">
        <v>3084</v>
      </c>
      <c r="E4211" s="112">
        <v>26131018500</v>
      </c>
      <c r="F4211" s="242">
        <f>SUM(F4212:F4222)</f>
        <v>24511968610</v>
      </c>
      <c r="G4211" s="246">
        <f t="shared" si="250"/>
        <v>93.804107214573364</v>
      </c>
      <c r="H4211" s="246">
        <v>93.804107214573364</v>
      </c>
      <c r="I4211" s="111"/>
    </row>
    <row r="4212" spans="1:9" ht="16.5" hidden="1" customHeight="1" x14ac:dyDescent="0.25">
      <c r="A4212" s="170"/>
      <c r="B4212" s="170"/>
      <c r="C4212" s="222"/>
      <c r="D4212" s="326" t="s">
        <v>3085</v>
      </c>
      <c r="E4212" s="197">
        <v>1190060100</v>
      </c>
      <c r="F4212" s="243">
        <v>1118300000</v>
      </c>
      <c r="G4212" s="247">
        <f t="shared" si="250"/>
        <v>93.970044033910554</v>
      </c>
      <c r="H4212" s="247">
        <v>93.970044033910554</v>
      </c>
      <c r="I4212" s="111"/>
    </row>
    <row r="4213" spans="1:9" ht="16.5" hidden="1" customHeight="1" x14ac:dyDescent="0.25">
      <c r="A4213" s="170"/>
      <c r="B4213" s="170"/>
      <c r="C4213" s="222"/>
      <c r="D4213" s="326" t="s">
        <v>3086</v>
      </c>
      <c r="E4213" s="197">
        <v>964328466</v>
      </c>
      <c r="F4213" s="243">
        <v>286274710</v>
      </c>
      <c r="G4213" s="247">
        <f t="shared" si="250"/>
        <v>29.686431552462334</v>
      </c>
      <c r="H4213" s="247">
        <v>29.686431552462334</v>
      </c>
      <c r="I4213" s="111"/>
    </row>
    <row r="4214" spans="1:9" ht="16.5" hidden="1" customHeight="1" x14ac:dyDescent="0.25">
      <c r="A4214" s="170"/>
      <c r="B4214" s="170"/>
      <c r="C4214" s="222"/>
      <c r="D4214" s="326" t="s">
        <v>3087</v>
      </c>
      <c r="E4214" s="197">
        <v>1558492700</v>
      </c>
      <c r="F4214" s="243">
        <v>1483243000</v>
      </c>
      <c r="G4214" s="247">
        <f t="shared" si="250"/>
        <v>95.171636030120638</v>
      </c>
      <c r="H4214" s="247">
        <v>95.171636030120638</v>
      </c>
      <c r="I4214" s="111"/>
    </row>
    <row r="4215" spans="1:9" ht="16.5" hidden="1" customHeight="1" x14ac:dyDescent="0.25">
      <c r="A4215" s="170"/>
      <c r="B4215" s="170"/>
      <c r="C4215" s="222"/>
      <c r="D4215" s="326" t="s">
        <v>3088</v>
      </c>
      <c r="E4215" s="197">
        <v>964328467</v>
      </c>
      <c r="F4215" s="243">
        <v>276580000</v>
      </c>
      <c r="G4215" s="247">
        <f t="shared" si="250"/>
        <v>28.681098760926655</v>
      </c>
      <c r="H4215" s="247">
        <v>28.681098760926655</v>
      </c>
      <c r="I4215" s="111"/>
    </row>
    <row r="4216" spans="1:9" ht="16.5" hidden="1" customHeight="1" x14ac:dyDescent="0.25">
      <c r="A4216" s="170"/>
      <c r="B4216" s="170"/>
      <c r="C4216" s="222"/>
      <c r="D4216" s="326" t="s">
        <v>3089</v>
      </c>
      <c r="E4216" s="252">
        <v>990060100</v>
      </c>
      <c r="F4216" s="243">
        <v>944107000</v>
      </c>
      <c r="G4216" s="247">
        <f t="shared" si="250"/>
        <v>95.358554495833133</v>
      </c>
      <c r="H4216" s="247">
        <v>95.358554495833133</v>
      </c>
      <c r="I4216" s="111"/>
    </row>
    <row r="4217" spans="1:9" ht="16.5" hidden="1" customHeight="1" x14ac:dyDescent="0.25">
      <c r="A4217" s="170"/>
      <c r="B4217" s="170"/>
      <c r="C4217" s="222"/>
      <c r="D4217" s="326" t="s">
        <v>3090</v>
      </c>
      <c r="E4217" s="197">
        <v>1090060100</v>
      </c>
      <c r="F4217" s="243">
        <v>1072800000</v>
      </c>
      <c r="G4217" s="247">
        <f t="shared" si="250"/>
        <v>98.416591892502069</v>
      </c>
      <c r="H4217" s="247">
        <v>98.416591892502069</v>
      </c>
      <c r="I4217" s="111"/>
    </row>
    <row r="4218" spans="1:9" ht="16.5" hidden="1" customHeight="1" x14ac:dyDescent="0.25">
      <c r="A4218" s="170"/>
      <c r="B4218" s="170"/>
      <c r="C4218" s="222"/>
      <c r="D4218" s="326" t="s">
        <v>3091</v>
      </c>
      <c r="E4218" s="197">
        <v>964328467</v>
      </c>
      <c r="F4218" s="243">
        <v>950800000</v>
      </c>
      <c r="G4218" s="247">
        <f t="shared" si="250"/>
        <v>98.597110065402632</v>
      </c>
      <c r="H4218" s="247">
        <v>98.597110065402632</v>
      </c>
      <c r="I4218" s="111"/>
    </row>
    <row r="4219" spans="1:9" ht="16.5" hidden="1" customHeight="1" x14ac:dyDescent="0.25">
      <c r="A4219" s="170"/>
      <c r="B4219" s="170"/>
      <c r="C4219" s="222"/>
      <c r="D4219" s="326" t="s">
        <v>3092</v>
      </c>
      <c r="E4219" s="197">
        <v>1290060100</v>
      </c>
      <c r="F4219" s="243">
        <v>1260563900</v>
      </c>
      <c r="G4219" s="247">
        <f t="shared" si="250"/>
        <v>97.713579390603584</v>
      </c>
      <c r="H4219" s="247">
        <v>97.713579390603584</v>
      </c>
      <c r="I4219" s="111"/>
    </row>
    <row r="4220" spans="1:9" ht="16.5" hidden="1" customHeight="1" x14ac:dyDescent="0.25">
      <c r="A4220" s="170"/>
      <c r="B4220" s="170"/>
      <c r="C4220" s="222"/>
      <c r="D4220" s="326" t="s">
        <v>3093</v>
      </c>
      <c r="E4220" s="197">
        <v>15802800000</v>
      </c>
      <c r="F4220" s="243">
        <v>15802800000</v>
      </c>
      <c r="G4220" s="247">
        <f t="shared" si="250"/>
        <v>100</v>
      </c>
      <c r="H4220" s="247">
        <v>100</v>
      </c>
      <c r="I4220" s="111"/>
    </row>
    <row r="4221" spans="1:9" ht="16.5" hidden="1" customHeight="1" x14ac:dyDescent="0.25">
      <c r="A4221" s="170"/>
      <c r="B4221" s="170"/>
      <c r="C4221" s="222"/>
      <c r="D4221" s="326" t="s">
        <v>3094</v>
      </c>
      <c r="E4221" s="197">
        <v>466500000</v>
      </c>
      <c r="F4221" s="243">
        <v>466500000</v>
      </c>
      <c r="G4221" s="247">
        <f t="shared" si="250"/>
        <v>100</v>
      </c>
      <c r="H4221" s="247">
        <v>100</v>
      </c>
      <c r="I4221" s="111"/>
    </row>
    <row r="4222" spans="1:9" ht="16.5" hidden="1" customHeight="1" x14ac:dyDescent="0.25">
      <c r="A4222" s="170"/>
      <c r="B4222" s="170"/>
      <c r="C4222" s="222"/>
      <c r="D4222" s="326" t="s">
        <v>3095</v>
      </c>
      <c r="E4222" s="197">
        <v>850000000</v>
      </c>
      <c r="F4222" s="243">
        <v>850000000</v>
      </c>
      <c r="G4222" s="247">
        <f t="shared" si="250"/>
        <v>100</v>
      </c>
      <c r="H4222" s="247">
        <v>100</v>
      </c>
      <c r="I4222" s="111"/>
    </row>
    <row r="4223" spans="1:9" ht="16.5" hidden="1" customHeight="1" x14ac:dyDescent="0.25">
      <c r="A4223" s="170"/>
      <c r="B4223" s="170"/>
      <c r="C4223" s="222"/>
      <c r="D4223" s="325" t="s">
        <v>693</v>
      </c>
      <c r="E4223" s="112">
        <v>1092400000</v>
      </c>
      <c r="F4223" s="242">
        <f>F4224+F4225</f>
        <v>1092400000</v>
      </c>
      <c r="G4223" s="246">
        <f t="shared" si="250"/>
        <v>100</v>
      </c>
      <c r="H4223" s="246">
        <v>100</v>
      </c>
      <c r="I4223" s="111"/>
    </row>
    <row r="4224" spans="1:9" ht="16.5" hidden="1" customHeight="1" x14ac:dyDescent="0.25">
      <c r="A4224" s="170"/>
      <c r="B4224" s="170"/>
      <c r="C4224" s="222"/>
      <c r="D4224" s="326" t="s">
        <v>3096</v>
      </c>
      <c r="E4224" s="172">
        <v>942400000</v>
      </c>
      <c r="F4224" s="243">
        <v>942400000</v>
      </c>
      <c r="G4224" s="247">
        <f t="shared" si="250"/>
        <v>100</v>
      </c>
      <c r="H4224" s="247">
        <v>100</v>
      </c>
      <c r="I4224" s="111"/>
    </row>
    <row r="4225" spans="1:9" ht="16.5" hidden="1" customHeight="1" x14ac:dyDescent="0.25">
      <c r="A4225" s="170"/>
      <c r="B4225" s="170"/>
      <c r="C4225" s="222"/>
      <c r="D4225" s="326" t="s">
        <v>3097</v>
      </c>
      <c r="E4225" s="172">
        <v>150000000</v>
      </c>
      <c r="F4225" s="243">
        <v>150000000</v>
      </c>
      <c r="G4225" s="247">
        <f t="shared" si="250"/>
        <v>100</v>
      </c>
      <c r="H4225" s="247">
        <v>100</v>
      </c>
      <c r="I4225" s="111"/>
    </row>
    <row r="4226" spans="1:9" ht="16.5" hidden="1" customHeight="1" x14ac:dyDescent="0.25">
      <c r="A4226" s="170"/>
      <c r="B4226" s="170"/>
      <c r="C4226" s="222"/>
      <c r="D4226" s="325" t="s">
        <v>3098</v>
      </c>
      <c r="E4226" s="112">
        <v>391750000</v>
      </c>
      <c r="F4226" s="242">
        <f>F4227+F4228</f>
        <v>391750000</v>
      </c>
      <c r="G4226" s="246">
        <f t="shared" si="250"/>
        <v>100</v>
      </c>
      <c r="H4226" s="246">
        <v>100</v>
      </c>
      <c r="I4226" s="111"/>
    </row>
    <row r="4227" spans="1:9" ht="16.5" hidden="1" customHeight="1" x14ac:dyDescent="0.25">
      <c r="A4227" s="170"/>
      <c r="B4227" s="170"/>
      <c r="C4227" s="222"/>
      <c r="D4227" s="326" t="s">
        <v>3099</v>
      </c>
      <c r="E4227" s="172">
        <v>256750000</v>
      </c>
      <c r="F4227" s="243">
        <v>256750000</v>
      </c>
      <c r="G4227" s="247">
        <f t="shared" si="250"/>
        <v>100</v>
      </c>
      <c r="H4227" s="247">
        <v>100</v>
      </c>
      <c r="I4227" s="111"/>
    </row>
    <row r="4228" spans="1:9" ht="16.5" hidden="1" customHeight="1" x14ac:dyDescent="0.25">
      <c r="A4228" s="170"/>
      <c r="B4228" s="170"/>
      <c r="C4228" s="222"/>
      <c r="D4228" s="326" t="s">
        <v>3100</v>
      </c>
      <c r="E4228" s="172">
        <v>135000000</v>
      </c>
      <c r="F4228" s="243">
        <v>135000000</v>
      </c>
      <c r="G4228" s="247">
        <f t="shared" si="250"/>
        <v>100</v>
      </c>
      <c r="H4228" s="247">
        <v>100</v>
      </c>
      <c r="I4228" s="111"/>
    </row>
    <row r="4229" spans="1:9" ht="16.5" hidden="1" customHeight="1" x14ac:dyDescent="0.25">
      <c r="A4229" s="170"/>
      <c r="B4229" s="170"/>
      <c r="C4229" s="222"/>
      <c r="D4229" s="325" t="s">
        <v>109</v>
      </c>
      <c r="E4229" s="112">
        <v>1666000000</v>
      </c>
      <c r="F4229" s="242">
        <f>SUM(F4230:F4230)</f>
        <v>1666000000</v>
      </c>
      <c r="G4229" s="246">
        <f t="shared" si="250"/>
        <v>100</v>
      </c>
      <c r="H4229" s="246">
        <v>100</v>
      </c>
      <c r="I4229" s="111"/>
    </row>
    <row r="4230" spans="1:9" ht="16.5" hidden="1" customHeight="1" x14ac:dyDescent="0.25">
      <c r="A4230" s="170"/>
      <c r="B4230" s="170"/>
      <c r="C4230" s="222"/>
      <c r="D4230" s="326" t="s">
        <v>3101</v>
      </c>
      <c r="E4230" s="172">
        <v>1666000000</v>
      </c>
      <c r="F4230" s="243">
        <v>1666000000</v>
      </c>
      <c r="G4230" s="247">
        <f t="shared" si="250"/>
        <v>100</v>
      </c>
      <c r="H4230" s="247">
        <v>100</v>
      </c>
      <c r="I4230" s="111"/>
    </row>
    <row r="4231" spans="1:9" ht="16.5" hidden="1" customHeight="1" x14ac:dyDescent="0.25">
      <c r="A4231" s="170"/>
      <c r="B4231" s="170"/>
      <c r="C4231" s="222"/>
      <c r="D4231" s="326"/>
      <c r="E4231" s="172"/>
      <c r="F4231" s="243"/>
      <c r="G4231" s="247"/>
      <c r="H4231" s="247"/>
      <c r="I4231" s="111"/>
    </row>
    <row r="4232" spans="1:9" ht="16.5" hidden="1" customHeight="1" x14ac:dyDescent="0.25">
      <c r="A4232" s="170"/>
      <c r="B4232" s="170"/>
      <c r="C4232" s="222"/>
      <c r="D4232" s="325" t="s">
        <v>150</v>
      </c>
      <c r="E4232" s="112">
        <v>15090584250</v>
      </c>
      <c r="F4232" s="242">
        <f>F4233+F4235+F4239+F4241+F4247+F4250+F4252+F4255+F4257+F4259</f>
        <v>15014245300</v>
      </c>
      <c r="G4232" s="246">
        <f t="shared" ref="G4232:G4260" si="251">F4232/E4232*100</f>
        <v>99.494128598765158</v>
      </c>
      <c r="H4232" s="246">
        <v>99.494128598765158</v>
      </c>
      <c r="I4232" s="111"/>
    </row>
    <row r="4233" spans="1:9" ht="16.5" hidden="1" customHeight="1" x14ac:dyDescent="0.25">
      <c r="A4233" s="170"/>
      <c r="B4233" s="170"/>
      <c r="C4233" s="222"/>
      <c r="D4233" s="325" t="s">
        <v>3102</v>
      </c>
      <c r="E4233" s="112">
        <v>1354975200</v>
      </c>
      <c r="F4233" s="242">
        <f>F4234</f>
        <v>1343100000</v>
      </c>
      <c r="G4233" s="246">
        <f t="shared" si="251"/>
        <v>99.123585435364419</v>
      </c>
      <c r="H4233" s="246">
        <v>99.123585435364419</v>
      </c>
      <c r="I4233" s="111"/>
    </row>
    <row r="4234" spans="1:9" ht="16.5" hidden="1" customHeight="1" x14ac:dyDescent="0.25">
      <c r="A4234" s="170"/>
      <c r="B4234" s="170"/>
      <c r="C4234" s="222"/>
      <c r="D4234" s="326" t="s">
        <v>3103</v>
      </c>
      <c r="E4234" s="172">
        <v>1354975200</v>
      </c>
      <c r="F4234" s="243">
        <v>1343100000</v>
      </c>
      <c r="G4234" s="247">
        <f t="shared" si="251"/>
        <v>99.123585435364419</v>
      </c>
      <c r="H4234" s="247">
        <v>99.123585435364419</v>
      </c>
      <c r="I4234" s="111"/>
    </row>
    <row r="4235" spans="1:9" ht="16.5" hidden="1" customHeight="1" x14ac:dyDescent="0.25">
      <c r="A4235" s="170"/>
      <c r="B4235" s="170"/>
      <c r="C4235" s="222"/>
      <c r="D4235" s="325" t="s">
        <v>166</v>
      </c>
      <c r="E4235" s="112">
        <v>8133146300</v>
      </c>
      <c r="F4235" s="242">
        <f>SUM(F4236:F4238)</f>
        <v>8133046300</v>
      </c>
      <c r="G4235" s="246">
        <f t="shared" si="251"/>
        <v>99.99877046352897</v>
      </c>
      <c r="H4235" s="246">
        <v>99.99877046352897</v>
      </c>
      <c r="I4235" s="111"/>
    </row>
    <row r="4236" spans="1:9" ht="16.5" hidden="1" customHeight="1" x14ac:dyDescent="0.25">
      <c r="A4236" s="170"/>
      <c r="B4236" s="170"/>
      <c r="C4236" s="222"/>
      <c r="D4236" s="326" t="s">
        <v>1719</v>
      </c>
      <c r="E4236" s="197">
        <v>282600000</v>
      </c>
      <c r="F4236" s="243">
        <v>282500000</v>
      </c>
      <c r="G4236" s="247">
        <f t="shared" si="251"/>
        <v>99.964614295824489</v>
      </c>
      <c r="H4236" s="247">
        <v>99.964614295824489</v>
      </c>
      <c r="I4236" s="111"/>
    </row>
    <row r="4237" spans="1:9" ht="16.5" hidden="1" customHeight="1" x14ac:dyDescent="0.25">
      <c r="A4237" s="170"/>
      <c r="B4237" s="170"/>
      <c r="C4237" s="222"/>
      <c r="D4237" s="326" t="s">
        <v>3104</v>
      </c>
      <c r="E4237" s="197">
        <v>5838764300</v>
      </c>
      <c r="F4237" s="243">
        <v>5838764300</v>
      </c>
      <c r="G4237" s="247">
        <f t="shared" si="251"/>
        <v>100</v>
      </c>
      <c r="H4237" s="247">
        <v>100</v>
      </c>
      <c r="I4237" s="111"/>
    </row>
    <row r="4238" spans="1:9" ht="16.5" hidden="1" customHeight="1" x14ac:dyDescent="0.25">
      <c r="A4238" s="170"/>
      <c r="B4238" s="170"/>
      <c r="C4238" s="222"/>
      <c r="D4238" s="326" t="s">
        <v>3105</v>
      </c>
      <c r="E4238" s="197">
        <v>2011782000</v>
      </c>
      <c r="F4238" s="243">
        <v>2011782000</v>
      </c>
      <c r="G4238" s="247">
        <f t="shared" si="251"/>
        <v>100</v>
      </c>
      <c r="H4238" s="247">
        <v>100</v>
      </c>
      <c r="I4238" s="111"/>
    </row>
    <row r="4239" spans="1:9" ht="16.5" hidden="1" customHeight="1" x14ac:dyDescent="0.25">
      <c r="A4239" s="170"/>
      <c r="B4239" s="170"/>
      <c r="C4239" s="222"/>
      <c r="D4239" s="325" t="s">
        <v>3106</v>
      </c>
      <c r="E4239" s="112">
        <v>59500000</v>
      </c>
      <c r="F4239" s="242">
        <f>F4240</f>
        <v>59500000</v>
      </c>
      <c r="G4239" s="246">
        <f t="shared" si="251"/>
        <v>100</v>
      </c>
      <c r="H4239" s="246">
        <v>100</v>
      </c>
      <c r="I4239" s="111"/>
    </row>
    <row r="4240" spans="1:9" ht="16.5" hidden="1" customHeight="1" x14ac:dyDescent="0.25">
      <c r="A4240" s="170"/>
      <c r="B4240" s="170"/>
      <c r="C4240" s="222"/>
      <c r="D4240" s="326" t="s">
        <v>3107</v>
      </c>
      <c r="E4240" s="172">
        <v>59500000</v>
      </c>
      <c r="F4240" s="243">
        <v>59500000</v>
      </c>
      <c r="G4240" s="247">
        <f t="shared" si="251"/>
        <v>100</v>
      </c>
      <c r="H4240" s="247">
        <v>100</v>
      </c>
      <c r="I4240" s="111"/>
    </row>
    <row r="4241" spans="1:9" ht="16.5" hidden="1" customHeight="1" x14ac:dyDescent="0.25">
      <c r="A4241" s="170"/>
      <c r="B4241" s="170"/>
      <c r="C4241" s="222"/>
      <c r="D4241" s="325" t="s">
        <v>3108</v>
      </c>
      <c r="E4241" s="112">
        <v>300000000</v>
      </c>
      <c r="F4241" s="242">
        <f>SUM(F4242:F4246)</f>
        <v>300000000</v>
      </c>
      <c r="G4241" s="246">
        <f t="shared" si="251"/>
        <v>100</v>
      </c>
      <c r="H4241" s="246">
        <v>100</v>
      </c>
      <c r="I4241" s="111"/>
    </row>
    <row r="4242" spans="1:9" ht="16.5" hidden="1" customHeight="1" x14ac:dyDescent="0.25">
      <c r="A4242" s="170"/>
      <c r="B4242" s="170"/>
      <c r="C4242" s="222"/>
      <c r="D4242" s="326" t="s">
        <v>3109</v>
      </c>
      <c r="E4242" s="197">
        <v>60000000</v>
      </c>
      <c r="F4242" s="243">
        <v>60000000</v>
      </c>
      <c r="G4242" s="247">
        <f t="shared" si="251"/>
        <v>100</v>
      </c>
      <c r="H4242" s="247">
        <v>100</v>
      </c>
      <c r="I4242" s="111"/>
    </row>
    <row r="4243" spans="1:9" ht="16.5" hidden="1" customHeight="1" x14ac:dyDescent="0.25">
      <c r="A4243" s="170"/>
      <c r="B4243" s="170"/>
      <c r="C4243" s="222"/>
      <c r="D4243" s="326" t="s">
        <v>3110</v>
      </c>
      <c r="E4243" s="197">
        <v>60000000</v>
      </c>
      <c r="F4243" s="243">
        <v>60000000</v>
      </c>
      <c r="G4243" s="247">
        <f t="shared" si="251"/>
        <v>100</v>
      </c>
      <c r="H4243" s="247">
        <v>100</v>
      </c>
      <c r="I4243" s="111"/>
    </row>
    <row r="4244" spans="1:9" ht="16.5" hidden="1" customHeight="1" x14ac:dyDescent="0.25">
      <c r="A4244" s="170"/>
      <c r="B4244" s="170"/>
      <c r="C4244" s="222"/>
      <c r="D4244" s="326" t="s">
        <v>3111</v>
      </c>
      <c r="E4244" s="197">
        <v>60000000</v>
      </c>
      <c r="F4244" s="243">
        <v>60000000</v>
      </c>
      <c r="G4244" s="247">
        <f t="shared" si="251"/>
        <v>100</v>
      </c>
      <c r="H4244" s="247">
        <v>100</v>
      </c>
      <c r="I4244" s="111"/>
    </row>
    <row r="4245" spans="1:9" ht="36" hidden="1" customHeight="1" x14ac:dyDescent="0.25">
      <c r="A4245" s="170"/>
      <c r="B4245" s="170"/>
      <c r="C4245" s="222"/>
      <c r="D4245" s="327" t="s">
        <v>3112</v>
      </c>
      <c r="E4245" s="197">
        <v>60000000</v>
      </c>
      <c r="F4245" s="243">
        <v>60000000</v>
      </c>
      <c r="G4245" s="247">
        <f t="shared" si="251"/>
        <v>100</v>
      </c>
      <c r="H4245" s="247">
        <v>100</v>
      </c>
      <c r="I4245" s="111"/>
    </row>
    <row r="4246" spans="1:9" ht="16.5" hidden="1" customHeight="1" x14ac:dyDescent="0.25">
      <c r="A4246" s="170"/>
      <c r="B4246" s="170"/>
      <c r="C4246" s="222"/>
      <c r="D4246" s="326" t="s">
        <v>3113</v>
      </c>
      <c r="E4246" s="197">
        <v>60000000</v>
      </c>
      <c r="F4246" s="243">
        <v>60000000</v>
      </c>
      <c r="G4246" s="247">
        <f t="shared" si="251"/>
        <v>100</v>
      </c>
      <c r="H4246" s="247">
        <v>100</v>
      </c>
      <c r="I4246" s="111"/>
    </row>
    <row r="4247" spans="1:9" ht="16.5" hidden="1" customHeight="1" x14ac:dyDescent="0.25">
      <c r="A4247" s="170"/>
      <c r="B4247" s="170"/>
      <c r="C4247" s="222"/>
      <c r="D4247" s="325" t="s">
        <v>3114</v>
      </c>
      <c r="E4247" s="120">
        <v>114000000</v>
      </c>
      <c r="F4247" s="242">
        <f>F4248+F4249</f>
        <v>114000000</v>
      </c>
      <c r="G4247" s="246">
        <f t="shared" si="251"/>
        <v>100</v>
      </c>
      <c r="H4247" s="246">
        <v>100</v>
      </c>
      <c r="I4247" s="111"/>
    </row>
    <row r="4248" spans="1:9" ht="16.5" hidden="1" customHeight="1" x14ac:dyDescent="0.25">
      <c r="A4248" s="170"/>
      <c r="B4248" s="170"/>
      <c r="C4248" s="222"/>
      <c r="D4248" s="326" t="s">
        <v>3115</v>
      </c>
      <c r="E4248" s="172">
        <v>40000000</v>
      </c>
      <c r="F4248" s="243">
        <v>40000000</v>
      </c>
      <c r="G4248" s="247">
        <f t="shared" si="251"/>
        <v>100</v>
      </c>
      <c r="H4248" s="247">
        <v>100</v>
      </c>
      <c r="I4248" s="111"/>
    </row>
    <row r="4249" spans="1:9" ht="16.5" hidden="1" customHeight="1" x14ac:dyDescent="0.25">
      <c r="A4249" s="170"/>
      <c r="B4249" s="170"/>
      <c r="C4249" s="222"/>
      <c r="D4249" s="326" t="s">
        <v>2093</v>
      </c>
      <c r="E4249" s="172">
        <v>74000000</v>
      </c>
      <c r="F4249" s="243">
        <v>74000000</v>
      </c>
      <c r="G4249" s="247">
        <f t="shared" si="251"/>
        <v>100</v>
      </c>
      <c r="H4249" s="247">
        <v>100</v>
      </c>
      <c r="I4249" s="111"/>
    </row>
    <row r="4250" spans="1:9" ht="16.5" hidden="1" customHeight="1" x14ac:dyDescent="0.25">
      <c r="A4250" s="170"/>
      <c r="B4250" s="170"/>
      <c r="C4250" s="222"/>
      <c r="D4250" s="325" t="s">
        <v>3116</v>
      </c>
      <c r="E4250" s="112">
        <v>150462750</v>
      </c>
      <c r="F4250" s="242">
        <f>F4251</f>
        <v>150000000</v>
      </c>
      <c r="G4250" s="246">
        <f t="shared" si="251"/>
        <v>99.692448795465978</v>
      </c>
      <c r="H4250" s="246">
        <v>99.692448795465978</v>
      </c>
      <c r="I4250" s="111"/>
    </row>
    <row r="4251" spans="1:9" ht="16.5" hidden="1" customHeight="1" x14ac:dyDescent="0.25">
      <c r="A4251" s="170"/>
      <c r="B4251" s="170"/>
      <c r="C4251" s="222"/>
      <c r="D4251" s="326" t="s">
        <v>3117</v>
      </c>
      <c r="E4251" s="172">
        <v>150462750</v>
      </c>
      <c r="F4251" s="243">
        <v>150000000</v>
      </c>
      <c r="G4251" s="247">
        <f t="shared" si="251"/>
        <v>99.692448795465978</v>
      </c>
      <c r="H4251" s="247">
        <v>99.692448795465978</v>
      </c>
      <c r="I4251" s="111"/>
    </row>
    <row r="4252" spans="1:9" ht="27.75" hidden="1" customHeight="1" x14ac:dyDescent="0.25">
      <c r="A4252" s="170"/>
      <c r="B4252" s="170"/>
      <c r="C4252" s="222"/>
      <c r="D4252" s="383" t="s">
        <v>3118</v>
      </c>
      <c r="E4252" s="112">
        <v>1800000000</v>
      </c>
      <c r="F4252" s="242">
        <f>SUM(F4253:F4254)</f>
        <v>1736099000</v>
      </c>
      <c r="G4252" s="246">
        <f t="shared" si="251"/>
        <v>96.449944444444441</v>
      </c>
      <c r="H4252" s="246">
        <v>96.449944444444441</v>
      </c>
      <c r="I4252" s="111"/>
    </row>
    <row r="4253" spans="1:9" ht="16.5" hidden="1" customHeight="1" x14ac:dyDescent="0.25">
      <c r="A4253" s="170"/>
      <c r="B4253" s="170"/>
      <c r="C4253" s="222"/>
      <c r="D4253" s="326" t="s">
        <v>2821</v>
      </c>
      <c r="E4253" s="172">
        <v>800000000</v>
      </c>
      <c r="F4253" s="243">
        <v>772222000</v>
      </c>
      <c r="G4253" s="247">
        <f t="shared" si="251"/>
        <v>96.527749999999997</v>
      </c>
      <c r="H4253" s="247">
        <v>96.527749999999997</v>
      </c>
      <c r="I4253" s="111"/>
    </row>
    <row r="4254" spans="1:9" ht="16.5" hidden="1" customHeight="1" x14ac:dyDescent="0.25">
      <c r="A4254" s="170"/>
      <c r="B4254" s="170"/>
      <c r="C4254" s="222"/>
      <c r="D4254" s="326" t="s">
        <v>3119</v>
      </c>
      <c r="E4254" s="172">
        <v>1000000000</v>
      </c>
      <c r="F4254" s="243">
        <v>963877000</v>
      </c>
      <c r="G4254" s="247">
        <f t="shared" si="251"/>
        <v>96.387699999999995</v>
      </c>
      <c r="H4254" s="247">
        <v>96.387699999999995</v>
      </c>
      <c r="I4254" s="111"/>
    </row>
    <row r="4255" spans="1:9" ht="16.5" hidden="1" customHeight="1" x14ac:dyDescent="0.25">
      <c r="A4255" s="170"/>
      <c r="B4255" s="170"/>
      <c r="C4255" s="222"/>
      <c r="D4255" s="325" t="s">
        <v>3120</v>
      </c>
      <c r="E4255" s="112">
        <v>50000000</v>
      </c>
      <c r="F4255" s="242">
        <f>F4256</f>
        <v>50000000</v>
      </c>
      <c r="G4255" s="246">
        <f t="shared" si="251"/>
        <v>100</v>
      </c>
      <c r="H4255" s="246">
        <v>100</v>
      </c>
      <c r="I4255" s="111"/>
    </row>
    <row r="4256" spans="1:9" ht="16.5" hidden="1" customHeight="1" x14ac:dyDescent="0.25">
      <c r="A4256" s="170"/>
      <c r="B4256" s="170"/>
      <c r="C4256" s="222"/>
      <c r="D4256" s="326" t="s">
        <v>1731</v>
      </c>
      <c r="E4256" s="172">
        <v>50000000</v>
      </c>
      <c r="F4256" s="243">
        <v>50000000</v>
      </c>
      <c r="G4256" s="247">
        <f t="shared" si="251"/>
        <v>100</v>
      </c>
      <c r="H4256" s="247">
        <v>100</v>
      </c>
      <c r="I4256" s="111"/>
    </row>
    <row r="4257" spans="1:9" ht="16.5" hidden="1" customHeight="1" x14ac:dyDescent="0.25">
      <c r="A4257" s="170"/>
      <c r="B4257" s="170"/>
      <c r="C4257" s="222"/>
      <c r="D4257" s="325" t="s">
        <v>2099</v>
      </c>
      <c r="E4257" s="112">
        <v>1528500000</v>
      </c>
      <c r="F4257" s="242">
        <f>F4258</f>
        <v>1528500000</v>
      </c>
      <c r="G4257" s="246">
        <f t="shared" si="251"/>
        <v>100</v>
      </c>
      <c r="H4257" s="246">
        <v>100</v>
      </c>
      <c r="I4257" s="111"/>
    </row>
    <row r="4258" spans="1:9" ht="16.5" hidden="1" customHeight="1" x14ac:dyDescent="0.25">
      <c r="A4258" s="170"/>
      <c r="B4258" s="170"/>
      <c r="C4258" s="222"/>
      <c r="D4258" s="326" t="s">
        <v>2823</v>
      </c>
      <c r="E4258" s="172">
        <v>1528500000</v>
      </c>
      <c r="F4258" s="243">
        <v>1528500000</v>
      </c>
      <c r="G4258" s="247">
        <f t="shared" si="251"/>
        <v>100</v>
      </c>
      <c r="H4258" s="247">
        <v>100</v>
      </c>
      <c r="I4258" s="111"/>
    </row>
    <row r="4259" spans="1:9" ht="16.5" hidden="1" customHeight="1" x14ac:dyDescent="0.25">
      <c r="A4259" s="170"/>
      <c r="B4259" s="170"/>
      <c r="C4259" s="222"/>
      <c r="D4259" s="325" t="s">
        <v>3121</v>
      </c>
      <c r="E4259" s="112">
        <v>1600000000</v>
      </c>
      <c r="F4259" s="242">
        <f>F4260</f>
        <v>1600000000</v>
      </c>
      <c r="G4259" s="246">
        <f t="shared" si="251"/>
        <v>100</v>
      </c>
      <c r="H4259" s="246">
        <v>100</v>
      </c>
      <c r="I4259" s="111"/>
    </row>
    <row r="4260" spans="1:9" ht="16.5" hidden="1" customHeight="1" x14ac:dyDescent="0.25">
      <c r="A4260" s="170"/>
      <c r="B4260" s="170"/>
      <c r="C4260" s="222"/>
      <c r="D4260" s="326" t="s">
        <v>2826</v>
      </c>
      <c r="E4260" s="172">
        <v>1600000000</v>
      </c>
      <c r="F4260" s="243">
        <v>1600000000</v>
      </c>
      <c r="G4260" s="247">
        <f t="shared" si="251"/>
        <v>100</v>
      </c>
      <c r="H4260" s="247">
        <v>100</v>
      </c>
      <c r="I4260" s="111"/>
    </row>
    <row r="4261" spans="1:9" ht="16.5" hidden="1" customHeight="1" x14ac:dyDescent="0.25">
      <c r="A4261" s="170"/>
      <c r="B4261" s="170"/>
      <c r="C4261" s="222"/>
      <c r="D4261" s="325"/>
      <c r="E4261" s="112"/>
      <c r="F4261" s="243"/>
      <c r="G4261" s="247"/>
      <c r="H4261" s="247"/>
      <c r="I4261" s="111"/>
    </row>
    <row r="4262" spans="1:9" ht="16.5" hidden="1" customHeight="1" x14ac:dyDescent="0.25">
      <c r="A4262" s="170"/>
      <c r="B4262" s="170"/>
      <c r="C4262" s="222"/>
      <c r="D4262" s="325" t="s">
        <v>854</v>
      </c>
      <c r="E4262" s="112">
        <v>10060389500</v>
      </c>
      <c r="F4262" s="242">
        <f>F4263</f>
        <v>7590217850</v>
      </c>
      <c r="G4262" s="246">
        <f>F4262/E4262*100</f>
        <v>75.446560493507732</v>
      </c>
      <c r="H4262" s="246">
        <v>75.446560493507732</v>
      </c>
      <c r="I4262" s="111"/>
    </row>
    <row r="4263" spans="1:9" ht="16.5" hidden="1" customHeight="1" x14ac:dyDescent="0.25">
      <c r="A4263" s="170"/>
      <c r="B4263" s="170"/>
      <c r="C4263" s="222"/>
      <c r="D4263" s="325" t="s">
        <v>3122</v>
      </c>
      <c r="E4263" s="112">
        <v>10060389500</v>
      </c>
      <c r="F4263" s="242">
        <f>F4264</f>
        <v>7590217850</v>
      </c>
      <c r="G4263" s="246">
        <f>F4263/E4263*100</f>
        <v>75.446560493507732</v>
      </c>
      <c r="H4263" s="246">
        <v>75.446560493507732</v>
      </c>
      <c r="I4263" s="111"/>
    </row>
    <row r="4264" spans="1:9" ht="16.5" hidden="1" customHeight="1" x14ac:dyDescent="0.25">
      <c r="A4264" s="170"/>
      <c r="B4264" s="170"/>
      <c r="C4264" s="222"/>
      <c r="D4264" s="326" t="s">
        <v>3123</v>
      </c>
      <c r="E4264" s="172">
        <v>10060389500</v>
      </c>
      <c r="F4264" s="243">
        <v>7590217850</v>
      </c>
      <c r="G4264" s="247">
        <f>F4264/E4264*100</f>
        <v>75.446560493507732</v>
      </c>
      <c r="H4264" s="247">
        <v>75.446560493507732</v>
      </c>
      <c r="I4264" s="111"/>
    </row>
    <row r="4265" spans="1:9" ht="16.5" hidden="1" customHeight="1" x14ac:dyDescent="0.25">
      <c r="A4265" s="170"/>
      <c r="B4265" s="170"/>
      <c r="C4265" s="222"/>
      <c r="D4265" s="325"/>
      <c r="E4265" s="112"/>
      <c r="F4265" s="243"/>
      <c r="G4265" s="247"/>
      <c r="H4265" s="247"/>
      <c r="I4265" s="111"/>
    </row>
    <row r="4266" spans="1:9" ht="16.5" hidden="1" customHeight="1" x14ac:dyDescent="0.25">
      <c r="A4266" s="170"/>
      <c r="B4266" s="170"/>
      <c r="C4266" s="222"/>
      <c r="D4266" s="325" t="s">
        <v>3124</v>
      </c>
      <c r="E4266" s="112">
        <v>10060389500</v>
      </c>
      <c r="F4266" s="242">
        <f>F4267</f>
        <v>8841962000</v>
      </c>
      <c r="G4266" s="246">
        <f>F4266/E4266*100</f>
        <v>87.888863547479943</v>
      </c>
      <c r="H4266" s="246">
        <v>87.888863547479943</v>
      </c>
      <c r="I4266" s="111"/>
    </row>
    <row r="4267" spans="1:9" ht="16.5" hidden="1" customHeight="1" x14ac:dyDescent="0.25">
      <c r="A4267" s="170"/>
      <c r="B4267" s="170"/>
      <c r="C4267" s="222"/>
      <c r="D4267" s="325" t="s">
        <v>729</v>
      </c>
      <c r="E4267" s="112">
        <v>10060389500</v>
      </c>
      <c r="F4267" s="242">
        <f>F4268</f>
        <v>8841962000</v>
      </c>
      <c r="G4267" s="246">
        <f>F4267/E4267*100</f>
        <v>87.888863547479943</v>
      </c>
      <c r="H4267" s="246">
        <v>87.888863547479943</v>
      </c>
      <c r="I4267" s="111"/>
    </row>
    <row r="4268" spans="1:9" ht="16.5" hidden="1" customHeight="1" x14ac:dyDescent="0.25">
      <c r="A4268" s="170"/>
      <c r="B4268" s="170"/>
      <c r="C4268" s="222"/>
      <c r="D4268" s="326" t="s">
        <v>3125</v>
      </c>
      <c r="E4268" s="172">
        <v>10060389500</v>
      </c>
      <c r="F4268" s="243">
        <v>8841962000</v>
      </c>
      <c r="G4268" s="247">
        <f>F4268/E4268*100</f>
        <v>87.888863547479943</v>
      </c>
      <c r="H4268" s="247">
        <v>87.888863547479943</v>
      </c>
      <c r="I4268" s="111"/>
    </row>
    <row r="4269" spans="1:9" ht="16.5" hidden="1" customHeight="1" x14ac:dyDescent="0.25">
      <c r="A4269" s="170"/>
      <c r="B4269" s="170"/>
      <c r="C4269" s="222"/>
      <c r="D4269" s="325"/>
      <c r="E4269" s="112"/>
      <c r="F4269" s="243"/>
      <c r="G4269" s="247"/>
      <c r="H4269" s="247"/>
      <c r="I4269" s="111"/>
    </row>
    <row r="4270" spans="1:9" ht="16.5" hidden="1" customHeight="1" x14ac:dyDescent="0.25">
      <c r="A4270" s="170"/>
      <c r="B4270" s="170"/>
      <c r="C4270" s="222"/>
      <c r="D4270" s="325" t="s">
        <v>3126</v>
      </c>
      <c r="E4270" s="112">
        <v>1006038950</v>
      </c>
      <c r="F4270" s="242">
        <f>F4271</f>
        <v>1006019550</v>
      </c>
      <c r="G4270" s="246">
        <f>F4270/E4270*100</f>
        <v>99.998071645237985</v>
      </c>
      <c r="H4270" s="246">
        <v>99.998071645237985</v>
      </c>
      <c r="I4270" s="111"/>
    </row>
    <row r="4271" spans="1:9" ht="16.5" hidden="1" customHeight="1" x14ac:dyDescent="0.25">
      <c r="A4271" s="170"/>
      <c r="B4271" s="170"/>
      <c r="C4271" s="222"/>
      <c r="D4271" s="325" t="s">
        <v>3127</v>
      </c>
      <c r="E4271" s="112">
        <v>1006038950</v>
      </c>
      <c r="F4271" s="242">
        <f>F4272</f>
        <v>1006019550</v>
      </c>
      <c r="G4271" s="246">
        <f>F4271/E4271*100</f>
        <v>99.998071645237985</v>
      </c>
      <c r="H4271" s="246">
        <v>99.998071645237985</v>
      </c>
      <c r="I4271" s="111"/>
    </row>
    <row r="4272" spans="1:9" ht="24" hidden="1" customHeight="1" x14ac:dyDescent="0.25">
      <c r="A4272" s="170"/>
      <c r="B4272" s="170"/>
      <c r="C4272" s="222"/>
      <c r="D4272" s="327" t="s">
        <v>3128</v>
      </c>
      <c r="E4272" s="172">
        <v>1006038950</v>
      </c>
      <c r="F4272" s="243">
        <v>1006019550</v>
      </c>
      <c r="G4272" s="247">
        <f>F4272/E4272*100</f>
        <v>99.998071645237985</v>
      </c>
      <c r="H4272" s="247">
        <v>99.998071645237985</v>
      </c>
      <c r="I4272" s="111"/>
    </row>
    <row r="4273" spans="1:9" ht="16.5" hidden="1" customHeight="1" x14ac:dyDescent="0.25">
      <c r="A4273" s="170"/>
      <c r="B4273" s="170"/>
      <c r="C4273" s="222"/>
      <c r="D4273" s="326"/>
      <c r="E4273" s="172"/>
      <c r="F4273" s="243"/>
      <c r="G4273" s="247"/>
      <c r="H4273" s="247"/>
      <c r="I4273" s="111"/>
    </row>
    <row r="4274" spans="1:9" ht="16.5" hidden="1" customHeight="1" x14ac:dyDescent="0.25">
      <c r="A4274" s="170"/>
      <c r="B4274" s="170"/>
      <c r="C4274" s="222"/>
      <c r="D4274" s="325" t="s">
        <v>873</v>
      </c>
      <c r="E4274" s="112">
        <v>1006038950</v>
      </c>
      <c r="F4274" s="242">
        <f>F4275</f>
        <v>952038950</v>
      </c>
      <c r="G4274" s="246">
        <f>F4274/E4274*100</f>
        <v>94.632414579972277</v>
      </c>
      <c r="H4274" s="246">
        <v>94.632414579972277</v>
      </c>
      <c r="I4274" s="111"/>
    </row>
    <row r="4275" spans="1:9" ht="16.5" hidden="1" customHeight="1" x14ac:dyDescent="0.25">
      <c r="A4275" s="170"/>
      <c r="B4275" s="170"/>
      <c r="C4275" s="222"/>
      <c r="D4275" s="325" t="s">
        <v>3129</v>
      </c>
      <c r="E4275" s="112">
        <v>1006038950</v>
      </c>
      <c r="F4275" s="242">
        <f>F4276</f>
        <v>952038950</v>
      </c>
      <c r="G4275" s="246">
        <f>F4275/E4275*100</f>
        <v>94.632414579972277</v>
      </c>
      <c r="H4275" s="246">
        <v>94.632414579972277</v>
      </c>
      <c r="I4275" s="111"/>
    </row>
    <row r="4276" spans="1:9" ht="16.5" hidden="1" customHeight="1" x14ac:dyDescent="0.25">
      <c r="A4276" s="170"/>
      <c r="B4276" s="170"/>
      <c r="C4276" s="222"/>
      <c r="D4276" s="326" t="s">
        <v>3130</v>
      </c>
      <c r="E4276" s="172">
        <v>1006038950</v>
      </c>
      <c r="F4276" s="243">
        <v>952038950</v>
      </c>
      <c r="G4276" s="247">
        <f>F4276/E4276*100</f>
        <v>94.632414579972277</v>
      </c>
      <c r="H4276" s="247">
        <v>94.632414579972277</v>
      </c>
      <c r="I4276" s="111"/>
    </row>
    <row r="4277" spans="1:9" ht="16.5" hidden="1" customHeight="1" x14ac:dyDescent="0.25">
      <c r="A4277" s="170"/>
      <c r="B4277" s="170"/>
      <c r="C4277" s="222"/>
      <c r="D4277" s="325"/>
      <c r="E4277" s="112"/>
      <c r="F4277" s="242"/>
      <c r="G4277" s="246"/>
      <c r="H4277" s="246"/>
      <c r="I4277" s="111"/>
    </row>
    <row r="4278" spans="1:9" ht="16.5" hidden="1" customHeight="1" x14ac:dyDescent="0.25">
      <c r="A4278" s="170"/>
      <c r="B4278" s="170"/>
      <c r="C4278" s="222"/>
      <c r="D4278" s="325" t="s">
        <v>298</v>
      </c>
      <c r="E4278" s="112">
        <v>2012077900</v>
      </c>
      <c r="F4278" s="242">
        <f>F4279+F4281</f>
        <v>2012077900</v>
      </c>
      <c r="G4278" s="246">
        <f t="shared" ref="G4278:G4284" si="252">F4278/E4278*100</f>
        <v>100</v>
      </c>
      <c r="H4278" s="246">
        <v>100</v>
      </c>
      <c r="I4278" s="111"/>
    </row>
    <row r="4279" spans="1:9" ht="16.5" hidden="1" customHeight="1" x14ac:dyDescent="0.25">
      <c r="A4279" s="170"/>
      <c r="B4279" s="170"/>
      <c r="C4279" s="222"/>
      <c r="D4279" s="325" t="s">
        <v>3131</v>
      </c>
      <c r="E4279" s="112">
        <v>760000000</v>
      </c>
      <c r="F4279" s="242">
        <f>F4280</f>
        <v>760000000</v>
      </c>
      <c r="G4279" s="246">
        <f t="shared" si="252"/>
        <v>100</v>
      </c>
      <c r="H4279" s="246">
        <v>100</v>
      </c>
      <c r="I4279" s="111"/>
    </row>
    <row r="4280" spans="1:9" ht="16.5" hidden="1" customHeight="1" x14ac:dyDescent="0.25">
      <c r="A4280" s="170"/>
      <c r="B4280" s="170"/>
      <c r="C4280" s="222"/>
      <c r="D4280" s="326" t="s">
        <v>3132</v>
      </c>
      <c r="E4280" s="172">
        <v>760000000</v>
      </c>
      <c r="F4280" s="243">
        <v>760000000</v>
      </c>
      <c r="G4280" s="247">
        <f t="shared" si="252"/>
        <v>100</v>
      </c>
      <c r="H4280" s="247">
        <v>100</v>
      </c>
      <c r="I4280" s="111"/>
    </row>
    <row r="4281" spans="1:9" ht="16.5" hidden="1" customHeight="1" x14ac:dyDescent="0.25">
      <c r="A4281" s="170"/>
      <c r="B4281" s="170"/>
      <c r="C4281" s="222"/>
      <c r="D4281" s="325" t="s">
        <v>3133</v>
      </c>
      <c r="E4281" s="112">
        <v>1252077900</v>
      </c>
      <c r="F4281" s="242">
        <f>SUM(F4282:F4284)</f>
        <v>1252077900</v>
      </c>
      <c r="G4281" s="246">
        <f t="shared" si="252"/>
        <v>100</v>
      </c>
      <c r="H4281" s="246">
        <v>100</v>
      </c>
      <c r="I4281" s="111"/>
    </row>
    <row r="4282" spans="1:9" ht="16.5" hidden="1" customHeight="1" x14ac:dyDescent="0.25">
      <c r="A4282" s="170"/>
      <c r="B4282" s="170"/>
      <c r="C4282" s="222"/>
      <c r="D4282" s="326" t="s">
        <v>3134</v>
      </c>
      <c r="E4282" s="172">
        <v>455000000</v>
      </c>
      <c r="F4282" s="243">
        <v>455000000</v>
      </c>
      <c r="G4282" s="247">
        <f t="shared" si="252"/>
        <v>100</v>
      </c>
      <c r="H4282" s="247">
        <v>100</v>
      </c>
      <c r="I4282" s="111"/>
    </row>
    <row r="4283" spans="1:9" ht="16.5" hidden="1" customHeight="1" x14ac:dyDescent="0.25">
      <c r="A4283" s="170"/>
      <c r="B4283" s="170"/>
      <c r="C4283" s="222"/>
      <c r="D4283" s="326" t="s">
        <v>3135</v>
      </c>
      <c r="E4283" s="172">
        <v>462077900</v>
      </c>
      <c r="F4283" s="243">
        <v>462077900</v>
      </c>
      <c r="G4283" s="247">
        <f t="shared" si="252"/>
        <v>100</v>
      </c>
      <c r="H4283" s="247">
        <v>100</v>
      </c>
      <c r="I4283" s="111"/>
    </row>
    <row r="4284" spans="1:9" ht="16.5" hidden="1" customHeight="1" x14ac:dyDescent="0.25">
      <c r="A4284" s="170"/>
      <c r="B4284" s="170"/>
      <c r="C4284" s="222"/>
      <c r="D4284" s="326" t="s">
        <v>3136</v>
      </c>
      <c r="E4284" s="172">
        <v>335000000</v>
      </c>
      <c r="F4284" s="243">
        <v>335000000</v>
      </c>
      <c r="G4284" s="247">
        <f t="shared" si="252"/>
        <v>100</v>
      </c>
      <c r="H4284" s="247">
        <v>100</v>
      </c>
      <c r="I4284" s="111"/>
    </row>
    <row r="4285" spans="1:9" ht="16.5" hidden="1" customHeight="1" x14ac:dyDescent="0.25">
      <c r="A4285" s="170"/>
      <c r="B4285" s="170"/>
      <c r="C4285" s="222"/>
      <c r="D4285" s="325"/>
      <c r="E4285" s="112"/>
      <c r="F4285" s="243"/>
      <c r="G4285" s="247"/>
      <c r="H4285" s="247"/>
      <c r="I4285" s="111"/>
    </row>
    <row r="4286" spans="1:9" ht="16.5" hidden="1" customHeight="1" x14ac:dyDescent="0.25">
      <c r="A4286" s="170"/>
      <c r="B4286" s="170"/>
      <c r="C4286" s="222"/>
      <c r="D4286" s="325" t="s">
        <v>3137</v>
      </c>
      <c r="E4286" s="112">
        <v>4024155800</v>
      </c>
      <c r="F4286" s="242">
        <f>F4287</f>
        <v>3808375000</v>
      </c>
      <c r="G4286" s="246">
        <f>F4286/E4286*100</f>
        <v>94.637861685176304</v>
      </c>
      <c r="H4286" s="246">
        <v>94.637861685176304</v>
      </c>
      <c r="I4286" s="111"/>
    </row>
    <row r="4287" spans="1:9" ht="16.5" hidden="1" customHeight="1" x14ac:dyDescent="0.25">
      <c r="A4287" s="170"/>
      <c r="B4287" s="170"/>
      <c r="C4287" s="222"/>
      <c r="D4287" s="325" t="s">
        <v>3138</v>
      </c>
      <c r="E4287" s="112">
        <v>4024155800</v>
      </c>
      <c r="F4287" s="242">
        <f>F4288</f>
        <v>3808375000</v>
      </c>
      <c r="G4287" s="246">
        <f>F4287/E4287*100</f>
        <v>94.637861685176304</v>
      </c>
      <c r="H4287" s="246">
        <v>94.637861685176304</v>
      </c>
      <c r="I4287" s="111"/>
    </row>
    <row r="4288" spans="1:9" ht="16.5" hidden="1" customHeight="1" x14ac:dyDescent="0.25">
      <c r="A4288" s="170"/>
      <c r="B4288" s="170"/>
      <c r="C4288" s="222"/>
      <c r="D4288" s="326" t="s">
        <v>3139</v>
      </c>
      <c r="E4288" s="172">
        <v>4024155800</v>
      </c>
      <c r="F4288" s="243">
        <v>3808375000</v>
      </c>
      <c r="G4288" s="247">
        <f>F4288/E4288*100</f>
        <v>94.637861685176304</v>
      </c>
      <c r="H4288" s="247">
        <v>94.637861685176304</v>
      </c>
      <c r="I4288" s="111"/>
    </row>
    <row r="4289" spans="1:9" ht="16.5" hidden="1" customHeight="1" x14ac:dyDescent="0.25">
      <c r="A4289" s="170"/>
      <c r="B4289" s="170"/>
      <c r="C4289" s="222"/>
      <c r="D4289" s="325"/>
      <c r="E4289" s="112"/>
      <c r="F4289" s="243"/>
      <c r="G4289" s="247"/>
      <c r="H4289" s="247"/>
      <c r="I4289" s="111"/>
    </row>
    <row r="4290" spans="1:9" ht="16.5" hidden="1" customHeight="1" x14ac:dyDescent="0.25">
      <c r="A4290" s="170"/>
      <c r="B4290" s="170"/>
      <c r="C4290" s="222"/>
      <c r="D4290" s="325" t="s">
        <v>3140</v>
      </c>
      <c r="E4290" s="112">
        <v>6036233700</v>
      </c>
      <c r="F4290" s="242">
        <f>F4291</f>
        <v>6013533700</v>
      </c>
      <c r="G4290" s="246">
        <f t="shared" ref="G4290:G4296" si="253">F4290/E4290*100</f>
        <v>99.623937688164716</v>
      </c>
      <c r="H4290" s="246">
        <v>99.623937688164716</v>
      </c>
      <c r="I4290" s="111"/>
    </row>
    <row r="4291" spans="1:9" ht="16.5" hidden="1" customHeight="1" x14ac:dyDescent="0.25">
      <c r="A4291" s="170"/>
      <c r="B4291" s="170"/>
      <c r="C4291" s="222"/>
      <c r="D4291" s="325" t="s">
        <v>3141</v>
      </c>
      <c r="E4291" s="112">
        <v>6036233700</v>
      </c>
      <c r="F4291" s="242">
        <f>SUM(F4292:F4296)</f>
        <v>6013533700</v>
      </c>
      <c r="G4291" s="246">
        <f t="shared" si="253"/>
        <v>99.623937688164716</v>
      </c>
      <c r="H4291" s="246">
        <v>99.623937688164716</v>
      </c>
      <c r="I4291" s="111"/>
    </row>
    <row r="4292" spans="1:9" ht="16.5" hidden="1" customHeight="1" x14ac:dyDescent="0.25">
      <c r="A4292" s="170"/>
      <c r="B4292" s="170"/>
      <c r="C4292" s="222"/>
      <c r="D4292" s="326" t="s">
        <v>3142</v>
      </c>
      <c r="E4292" s="197">
        <v>1863595000</v>
      </c>
      <c r="F4292" s="243">
        <v>1863595000</v>
      </c>
      <c r="G4292" s="247">
        <f t="shared" si="253"/>
        <v>100</v>
      </c>
      <c r="H4292" s="247">
        <v>100</v>
      </c>
      <c r="I4292" s="111"/>
    </row>
    <row r="4293" spans="1:9" ht="16.5" hidden="1" customHeight="1" x14ac:dyDescent="0.25">
      <c r="A4293" s="170"/>
      <c r="B4293" s="170"/>
      <c r="C4293" s="222"/>
      <c r="D4293" s="326" t="s">
        <v>3143</v>
      </c>
      <c r="E4293" s="197">
        <v>403250000</v>
      </c>
      <c r="F4293" s="243">
        <v>403250000</v>
      </c>
      <c r="G4293" s="247">
        <f t="shared" si="253"/>
        <v>100</v>
      </c>
      <c r="H4293" s="247">
        <v>100</v>
      </c>
      <c r="I4293" s="111"/>
    </row>
    <row r="4294" spans="1:9" ht="16.5" hidden="1" customHeight="1" x14ac:dyDescent="0.25">
      <c r="A4294" s="170"/>
      <c r="B4294" s="170"/>
      <c r="C4294" s="222"/>
      <c r="D4294" s="326" t="s">
        <v>3144</v>
      </c>
      <c r="E4294" s="197">
        <v>412150000</v>
      </c>
      <c r="F4294" s="243">
        <v>412150000</v>
      </c>
      <c r="G4294" s="247">
        <f t="shared" si="253"/>
        <v>100</v>
      </c>
      <c r="H4294" s="247">
        <v>100</v>
      </c>
      <c r="I4294" s="111"/>
    </row>
    <row r="4295" spans="1:9" ht="16.5" hidden="1" customHeight="1" x14ac:dyDescent="0.25">
      <c r="A4295" s="170"/>
      <c r="B4295" s="170"/>
      <c r="C4295" s="222"/>
      <c r="D4295" s="326" t="s">
        <v>3145</v>
      </c>
      <c r="E4295" s="197">
        <v>576780000</v>
      </c>
      <c r="F4295" s="243">
        <v>576780000</v>
      </c>
      <c r="G4295" s="247">
        <f t="shared" si="253"/>
        <v>100</v>
      </c>
      <c r="H4295" s="247">
        <v>100</v>
      </c>
      <c r="I4295" s="111"/>
    </row>
    <row r="4296" spans="1:9" ht="16.5" hidden="1" customHeight="1" x14ac:dyDescent="0.25">
      <c r="A4296" s="170"/>
      <c r="B4296" s="170"/>
      <c r="C4296" s="222"/>
      <c r="D4296" s="326" t="s">
        <v>3146</v>
      </c>
      <c r="E4296" s="197">
        <v>2780458700</v>
      </c>
      <c r="F4296" s="243">
        <v>2757758700</v>
      </c>
      <c r="G4296" s="247">
        <f t="shared" si="253"/>
        <v>99.183587945399083</v>
      </c>
      <c r="H4296" s="247">
        <v>99.183587945399083</v>
      </c>
      <c r="I4296" s="111"/>
    </row>
    <row r="4297" spans="1:9" ht="16.5" hidden="1" customHeight="1" x14ac:dyDescent="0.25">
      <c r="A4297" s="170"/>
      <c r="B4297" s="170"/>
      <c r="C4297" s="222"/>
      <c r="D4297" s="325"/>
      <c r="E4297" s="112"/>
      <c r="F4297" s="243"/>
      <c r="G4297" s="247"/>
      <c r="H4297" s="247"/>
      <c r="I4297" s="111"/>
    </row>
    <row r="4298" spans="1:9" ht="16.5" hidden="1" customHeight="1" x14ac:dyDescent="0.25">
      <c r="A4298" s="170"/>
      <c r="B4298" s="170"/>
      <c r="C4298" s="222"/>
      <c r="D4298" s="325" t="s">
        <v>624</v>
      </c>
      <c r="E4298" s="112">
        <v>1006038950</v>
      </c>
      <c r="F4298" s="242">
        <f>F4299</f>
        <v>1006038950</v>
      </c>
      <c r="G4298" s="246">
        <f>F4298/E4298*100</f>
        <v>100</v>
      </c>
      <c r="H4298" s="246">
        <v>100</v>
      </c>
      <c r="I4298" s="111"/>
    </row>
    <row r="4299" spans="1:9" ht="16.5" hidden="1" customHeight="1" x14ac:dyDescent="0.25">
      <c r="A4299" s="170"/>
      <c r="B4299" s="170"/>
      <c r="C4299" s="222"/>
      <c r="D4299" s="325" t="s">
        <v>3147</v>
      </c>
      <c r="E4299" s="112">
        <v>1006038950</v>
      </c>
      <c r="F4299" s="242">
        <f>F4300</f>
        <v>1006038950</v>
      </c>
      <c r="G4299" s="246">
        <f>F4299/E4299*100</f>
        <v>100</v>
      </c>
      <c r="H4299" s="246">
        <v>100</v>
      </c>
      <c r="I4299" s="111"/>
    </row>
    <row r="4300" spans="1:9" ht="16.5" hidden="1" customHeight="1" x14ac:dyDescent="0.25">
      <c r="A4300" s="170"/>
      <c r="B4300" s="170"/>
      <c r="C4300" s="222"/>
      <c r="D4300" s="326" t="s">
        <v>3148</v>
      </c>
      <c r="E4300" s="172">
        <v>1006038950</v>
      </c>
      <c r="F4300" s="243">
        <v>1006038950</v>
      </c>
      <c r="G4300" s="247">
        <f>F4300/E4300*100</f>
        <v>100</v>
      </c>
      <c r="H4300" s="247">
        <v>100</v>
      </c>
      <c r="I4300" s="111"/>
    </row>
    <row r="4301" spans="1:9" ht="16.5" hidden="1" customHeight="1" x14ac:dyDescent="0.25">
      <c r="A4301" s="170"/>
      <c r="B4301" s="170"/>
      <c r="C4301" s="222"/>
      <c r="D4301" s="325"/>
      <c r="E4301" s="112"/>
      <c r="F4301" s="243"/>
      <c r="G4301" s="247"/>
      <c r="H4301" s="247"/>
      <c r="I4301" s="111"/>
    </row>
    <row r="4302" spans="1:9" ht="16.5" hidden="1" customHeight="1" x14ac:dyDescent="0.25">
      <c r="A4302" s="170"/>
      <c r="B4302" s="170"/>
      <c r="C4302" s="222"/>
      <c r="D4302" s="325" t="s">
        <v>1634</v>
      </c>
      <c r="E4302" s="112">
        <v>9054440250</v>
      </c>
      <c r="F4302" s="242">
        <f>F4303+F4305+F4307+F4311+F4313</f>
        <v>8898109050</v>
      </c>
      <c r="G4302" s="246">
        <f t="shared" ref="G4302:G4314" si="254">F4302/E4302*100</f>
        <v>98.273430541440703</v>
      </c>
      <c r="H4302" s="246">
        <v>98.273430541440703</v>
      </c>
      <c r="I4302" s="111"/>
    </row>
    <row r="4303" spans="1:9" ht="16.5" hidden="1" customHeight="1" x14ac:dyDescent="0.25">
      <c r="A4303" s="170"/>
      <c r="B4303" s="170"/>
      <c r="C4303" s="222"/>
      <c r="D4303" s="325" t="s">
        <v>3149</v>
      </c>
      <c r="E4303" s="112">
        <v>687000000</v>
      </c>
      <c r="F4303" s="242">
        <f>F4304</f>
        <v>686000000</v>
      </c>
      <c r="G4303" s="246">
        <f t="shared" si="254"/>
        <v>99.85443959243085</v>
      </c>
      <c r="H4303" s="246">
        <v>99.85443959243085</v>
      </c>
      <c r="I4303" s="111"/>
    </row>
    <row r="4304" spans="1:9" ht="16.5" hidden="1" customHeight="1" x14ac:dyDescent="0.25">
      <c r="A4304" s="170"/>
      <c r="B4304" s="170"/>
      <c r="C4304" s="222"/>
      <c r="D4304" s="326" t="s">
        <v>3150</v>
      </c>
      <c r="E4304" s="172">
        <v>687000000</v>
      </c>
      <c r="F4304" s="243">
        <v>686000000</v>
      </c>
      <c r="G4304" s="247">
        <f t="shared" si="254"/>
        <v>99.85443959243085</v>
      </c>
      <c r="H4304" s="247">
        <v>99.85443959243085</v>
      </c>
      <c r="I4304" s="111"/>
    </row>
    <row r="4305" spans="1:9" ht="16.5" hidden="1" customHeight="1" x14ac:dyDescent="0.25">
      <c r="A4305" s="170"/>
      <c r="B4305" s="170"/>
      <c r="C4305" s="222"/>
      <c r="D4305" s="325" t="s">
        <v>3151</v>
      </c>
      <c r="E4305" s="112">
        <v>1211000000</v>
      </c>
      <c r="F4305" s="242">
        <f>F4306</f>
        <v>1175213000</v>
      </c>
      <c r="G4305" s="246">
        <f t="shared" si="254"/>
        <v>97.044838976052844</v>
      </c>
      <c r="H4305" s="246">
        <v>97.044838976052844</v>
      </c>
      <c r="I4305" s="111"/>
    </row>
    <row r="4306" spans="1:9" ht="16.5" hidden="1" customHeight="1" x14ac:dyDescent="0.25">
      <c r="A4306" s="170"/>
      <c r="B4306" s="170"/>
      <c r="C4306" s="222"/>
      <c r="D4306" s="326" t="s">
        <v>2129</v>
      </c>
      <c r="E4306" s="172">
        <v>1211000000</v>
      </c>
      <c r="F4306" s="243">
        <v>1175213000</v>
      </c>
      <c r="G4306" s="247">
        <f t="shared" si="254"/>
        <v>97.044838976052844</v>
      </c>
      <c r="H4306" s="247">
        <v>97.044838976052844</v>
      </c>
      <c r="I4306" s="111"/>
    </row>
    <row r="4307" spans="1:9" ht="16.5" hidden="1" customHeight="1" x14ac:dyDescent="0.25">
      <c r="A4307" s="170"/>
      <c r="B4307" s="170"/>
      <c r="C4307" s="222"/>
      <c r="D4307" s="325" t="s">
        <v>1058</v>
      </c>
      <c r="E4307" s="112">
        <v>4403200000</v>
      </c>
      <c r="F4307" s="242">
        <f>SUM(F4308:F4310)</f>
        <v>4347307500</v>
      </c>
      <c r="G4307" s="246">
        <f t="shared" si="254"/>
        <v>98.73063908066861</v>
      </c>
      <c r="H4307" s="246">
        <v>98.73063908066861</v>
      </c>
      <c r="I4307" s="111"/>
    </row>
    <row r="4308" spans="1:9" ht="16.5" hidden="1" customHeight="1" x14ac:dyDescent="0.25">
      <c r="A4308" s="170"/>
      <c r="B4308" s="170"/>
      <c r="C4308" s="222"/>
      <c r="D4308" s="326" t="s">
        <v>1763</v>
      </c>
      <c r="E4308" s="197">
        <v>2679300000</v>
      </c>
      <c r="F4308" s="243">
        <v>2632575000</v>
      </c>
      <c r="G4308" s="247">
        <f t="shared" si="254"/>
        <v>98.2560743477774</v>
      </c>
      <c r="H4308" s="247">
        <v>98.2560743477774</v>
      </c>
      <c r="I4308" s="111"/>
    </row>
    <row r="4309" spans="1:9" ht="16.5" hidden="1" customHeight="1" x14ac:dyDescent="0.25">
      <c r="A4309" s="170"/>
      <c r="B4309" s="170"/>
      <c r="C4309" s="222"/>
      <c r="D4309" s="326" t="s">
        <v>3152</v>
      </c>
      <c r="E4309" s="197">
        <v>724400000</v>
      </c>
      <c r="F4309" s="243">
        <v>716592500</v>
      </c>
      <c r="G4309" s="247">
        <f t="shared" si="254"/>
        <v>98.9222114853672</v>
      </c>
      <c r="H4309" s="247">
        <v>98.9222114853672</v>
      </c>
      <c r="I4309" s="111"/>
    </row>
    <row r="4310" spans="1:9" ht="16.5" hidden="1" customHeight="1" x14ac:dyDescent="0.25">
      <c r="A4310" s="170"/>
      <c r="B4310" s="170"/>
      <c r="C4310" s="222"/>
      <c r="D4310" s="326" t="s">
        <v>1764</v>
      </c>
      <c r="E4310" s="197">
        <v>999500000</v>
      </c>
      <c r="F4310" s="243">
        <v>998140000</v>
      </c>
      <c r="G4310" s="247">
        <f t="shared" si="254"/>
        <v>99.863931965982985</v>
      </c>
      <c r="H4310" s="247">
        <v>99.863931965982985</v>
      </c>
      <c r="I4310" s="111"/>
    </row>
    <row r="4311" spans="1:9" ht="16.5" hidden="1" customHeight="1" x14ac:dyDescent="0.25">
      <c r="A4311" s="170"/>
      <c r="B4311" s="170"/>
      <c r="C4311" s="222"/>
      <c r="D4311" s="325" t="s">
        <v>3153</v>
      </c>
      <c r="E4311" s="199">
        <v>2198889700</v>
      </c>
      <c r="F4311" s="347">
        <f>F4312</f>
        <v>2139588000</v>
      </c>
      <c r="G4311" s="246">
        <f t="shared" si="254"/>
        <v>97.303107109010512</v>
      </c>
      <c r="H4311" s="246">
        <v>97.303107109010512</v>
      </c>
      <c r="I4311" s="111"/>
    </row>
    <row r="4312" spans="1:9" ht="16.5" hidden="1" customHeight="1" x14ac:dyDescent="0.25">
      <c r="A4312" s="170"/>
      <c r="B4312" s="170"/>
      <c r="C4312" s="222"/>
      <c r="D4312" s="326" t="s">
        <v>3154</v>
      </c>
      <c r="E4312" s="197">
        <v>2198889700</v>
      </c>
      <c r="F4312" s="243">
        <v>2139588000</v>
      </c>
      <c r="G4312" s="247">
        <f t="shared" si="254"/>
        <v>97.303107109010512</v>
      </c>
      <c r="H4312" s="247">
        <v>97.303107109010512</v>
      </c>
      <c r="I4312" s="111"/>
    </row>
    <row r="4313" spans="1:9" ht="16.5" hidden="1" customHeight="1" x14ac:dyDescent="0.25">
      <c r="A4313" s="170"/>
      <c r="B4313" s="170"/>
      <c r="C4313" s="222"/>
      <c r="D4313" s="325" t="s">
        <v>3155</v>
      </c>
      <c r="E4313" s="199">
        <v>554350550</v>
      </c>
      <c r="F4313" s="347">
        <f>F4314</f>
        <v>550000550</v>
      </c>
      <c r="G4313" s="246">
        <f t="shared" si="254"/>
        <v>99.21529797345741</v>
      </c>
      <c r="H4313" s="246">
        <v>99.21529797345741</v>
      </c>
      <c r="I4313" s="111"/>
    </row>
    <row r="4314" spans="1:9" ht="16.5" hidden="1" customHeight="1" x14ac:dyDescent="0.25">
      <c r="A4314" s="170"/>
      <c r="B4314" s="170"/>
      <c r="C4314" s="222"/>
      <c r="D4314" s="326" t="s">
        <v>3156</v>
      </c>
      <c r="E4314" s="197">
        <v>554350550</v>
      </c>
      <c r="F4314" s="243">
        <v>550000550</v>
      </c>
      <c r="G4314" s="247">
        <f t="shared" si="254"/>
        <v>99.21529797345741</v>
      </c>
      <c r="H4314" s="247">
        <v>99.21529797345741</v>
      </c>
      <c r="I4314" s="111"/>
    </row>
    <row r="4315" spans="1:9" ht="16.5" hidden="1" customHeight="1" x14ac:dyDescent="0.25">
      <c r="A4315" s="170"/>
      <c r="B4315" s="170"/>
      <c r="C4315" s="222"/>
      <c r="D4315" s="326"/>
      <c r="E4315" s="197"/>
      <c r="F4315" s="243"/>
      <c r="G4315" s="247"/>
      <c r="H4315" s="247"/>
      <c r="I4315" s="111"/>
    </row>
    <row r="4316" spans="1:9" ht="16.5" hidden="1" customHeight="1" x14ac:dyDescent="0.25">
      <c r="A4316" s="170"/>
      <c r="B4316" s="170"/>
      <c r="C4316" s="222"/>
      <c r="D4316" s="325" t="s">
        <v>3157</v>
      </c>
      <c r="E4316" s="199">
        <v>1006038950</v>
      </c>
      <c r="F4316" s="347">
        <f>F4317</f>
        <v>991273950</v>
      </c>
      <c r="G4316" s="246">
        <f>F4316/E4316*100</f>
        <v>98.532362986542424</v>
      </c>
      <c r="H4316" s="246">
        <v>98.532362986542424</v>
      </c>
      <c r="I4316" s="111"/>
    </row>
    <row r="4317" spans="1:9" ht="16.5" hidden="1" customHeight="1" x14ac:dyDescent="0.25">
      <c r="A4317" s="170"/>
      <c r="B4317" s="170"/>
      <c r="C4317" s="222"/>
      <c r="D4317" s="325" t="s">
        <v>3158</v>
      </c>
      <c r="E4317" s="199">
        <v>1006038950</v>
      </c>
      <c r="F4317" s="347">
        <f>F4318</f>
        <v>991273950</v>
      </c>
      <c r="G4317" s="246">
        <f>F4317/E4317*100</f>
        <v>98.532362986542424</v>
      </c>
      <c r="H4317" s="246">
        <v>98.532362986542424</v>
      </c>
      <c r="I4317" s="111"/>
    </row>
    <row r="4318" spans="1:9" ht="16.5" hidden="1" customHeight="1" x14ac:dyDescent="0.25">
      <c r="A4318" s="170"/>
      <c r="B4318" s="170"/>
      <c r="C4318" s="222"/>
      <c r="D4318" s="326" t="s">
        <v>3159</v>
      </c>
      <c r="E4318" s="197">
        <v>1006038950</v>
      </c>
      <c r="F4318" s="243">
        <v>991273950</v>
      </c>
      <c r="G4318" s="247">
        <f>F4318/E4318*100</f>
        <v>98.532362986542424</v>
      </c>
      <c r="H4318" s="247">
        <v>98.532362986542424</v>
      </c>
      <c r="I4318" s="111"/>
    </row>
    <row r="4319" spans="1:9" ht="16.5" hidden="1" customHeight="1" x14ac:dyDescent="0.25">
      <c r="A4319" s="170"/>
      <c r="B4319" s="170"/>
      <c r="C4319" s="222"/>
      <c r="D4319" s="326"/>
      <c r="E4319" s="172"/>
      <c r="F4319" s="243"/>
      <c r="G4319" s="247"/>
      <c r="H4319" s="247"/>
      <c r="I4319" s="111"/>
    </row>
    <row r="4320" spans="1:9" ht="16.5" hidden="1" customHeight="1" x14ac:dyDescent="0.25">
      <c r="A4320" s="170"/>
      <c r="B4320" s="170"/>
      <c r="C4320" s="222"/>
      <c r="D4320" s="325" t="s">
        <v>765</v>
      </c>
      <c r="E4320" s="112">
        <v>5030194750</v>
      </c>
      <c r="F4320" s="242">
        <f>F4321+F4323+F4325+F4327</f>
        <v>4804528000</v>
      </c>
      <c r="G4320" s="246">
        <f t="shared" ref="G4320:G4328" si="255">F4320/E4320*100</f>
        <v>95.513757195981327</v>
      </c>
      <c r="H4320" s="246">
        <v>95.513757195981327</v>
      </c>
      <c r="I4320" s="111"/>
    </row>
    <row r="4321" spans="1:9" ht="16.5" hidden="1" customHeight="1" x14ac:dyDescent="0.25">
      <c r="A4321" s="170"/>
      <c r="B4321" s="170"/>
      <c r="C4321" s="222"/>
      <c r="D4321" s="325" t="s">
        <v>3160</v>
      </c>
      <c r="E4321" s="112">
        <v>846135000</v>
      </c>
      <c r="F4321" s="242">
        <f>F4322</f>
        <v>805695000</v>
      </c>
      <c r="G4321" s="246">
        <f t="shared" si="255"/>
        <v>95.220620822918335</v>
      </c>
      <c r="H4321" s="246">
        <v>95.220620822918335</v>
      </c>
      <c r="I4321" s="111"/>
    </row>
    <row r="4322" spans="1:9" ht="16.5" hidden="1" customHeight="1" x14ac:dyDescent="0.25">
      <c r="A4322" s="170"/>
      <c r="B4322" s="170"/>
      <c r="C4322" s="222"/>
      <c r="D4322" s="326" t="s">
        <v>3161</v>
      </c>
      <c r="E4322" s="172">
        <v>846135000</v>
      </c>
      <c r="F4322" s="243">
        <v>805695000</v>
      </c>
      <c r="G4322" s="247">
        <f t="shared" si="255"/>
        <v>95.220620822918335</v>
      </c>
      <c r="H4322" s="379">
        <v>95.220620822918335</v>
      </c>
      <c r="I4322" s="111"/>
    </row>
    <row r="4323" spans="1:9" ht="16.5" hidden="1" customHeight="1" x14ac:dyDescent="0.25">
      <c r="A4323" s="170"/>
      <c r="B4323" s="170"/>
      <c r="C4323" s="222"/>
      <c r="D4323" s="325" t="s">
        <v>3162</v>
      </c>
      <c r="E4323" s="112">
        <v>782250000</v>
      </c>
      <c r="F4323" s="242">
        <f>F4324</f>
        <v>727322000</v>
      </c>
      <c r="G4323" s="333">
        <f t="shared" si="255"/>
        <v>92.978203899009273</v>
      </c>
      <c r="H4323" s="333">
        <v>92.978203899009273</v>
      </c>
      <c r="I4323" s="111"/>
    </row>
    <row r="4324" spans="1:9" ht="16.5" hidden="1" customHeight="1" x14ac:dyDescent="0.25">
      <c r="A4324" s="170"/>
      <c r="B4324" s="170"/>
      <c r="C4324" s="222"/>
      <c r="D4324" s="326" t="s">
        <v>3163</v>
      </c>
      <c r="E4324" s="172">
        <v>782250000</v>
      </c>
      <c r="F4324" s="243">
        <v>727322000</v>
      </c>
      <c r="G4324" s="247">
        <f t="shared" si="255"/>
        <v>92.978203899009273</v>
      </c>
      <c r="H4324" s="247">
        <v>92.978203899009273</v>
      </c>
      <c r="I4324" s="111"/>
    </row>
    <row r="4325" spans="1:9" ht="16.5" hidden="1" customHeight="1" x14ac:dyDescent="0.25">
      <c r="A4325" s="170"/>
      <c r="B4325" s="170"/>
      <c r="C4325" s="222"/>
      <c r="D4325" s="325" t="s">
        <v>3164</v>
      </c>
      <c r="E4325" s="112">
        <v>401809750</v>
      </c>
      <c r="F4325" s="242">
        <f>F4326</f>
        <v>401500000</v>
      </c>
      <c r="G4325" s="246">
        <f t="shared" si="255"/>
        <v>99.922911278285312</v>
      </c>
      <c r="H4325" s="246">
        <v>99.922911278285312</v>
      </c>
      <c r="I4325" s="111"/>
    </row>
    <row r="4326" spans="1:9" ht="16.5" hidden="1" customHeight="1" x14ac:dyDescent="0.25">
      <c r="A4326" s="170"/>
      <c r="B4326" s="170"/>
      <c r="C4326" s="222"/>
      <c r="D4326" s="326" t="s">
        <v>2122</v>
      </c>
      <c r="E4326" s="172">
        <v>401809750</v>
      </c>
      <c r="F4326" s="243">
        <v>401500000</v>
      </c>
      <c r="G4326" s="247">
        <f t="shared" si="255"/>
        <v>99.922911278285312</v>
      </c>
      <c r="H4326" s="247">
        <v>99.922911278285312</v>
      </c>
      <c r="I4326" s="111"/>
    </row>
    <row r="4327" spans="1:9" ht="16.5" hidden="1" customHeight="1" x14ac:dyDescent="0.25">
      <c r="A4327" s="170"/>
      <c r="B4327" s="170"/>
      <c r="C4327" s="222"/>
      <c r="D4327" s="325" t="s">
        <v>3165</v>
      </c>
      <c r="E4327" s="112">
        <v>3000000000</v>
      </c>
      <c r="F4327" s="242">
        <f>SUM(F4328:F4328)</f>
        <v>2870011000</v>
      </c>
      <c r="G4327" s="246">
        <f t="shared" si="255"/>
        <v>95.667033333333336</v>
      </c>
      <c r="H4327" s="246">
        <v>95.667033333333336</v>
      </c>
      <c r="I4327" s="111"/>
    </row>
    <row r="4328" spans="1:9" ht="16.5" hidden="1" customHeight="1" x14ac:dyDescent="0.25">
      <c r="A4328" s="170"/>
      <c r="B4328" s="170"/>
      <c r="C4328" s="222"/>
      <c r="D4328" s="326" t="s">
        <v>3166</v>
      </c>
      <c r="E4328" s="172">
        <v>3000000000</v>
      </c>
      <c r="F4328" s="243">
        <v>2870011000</v>
      </c>
      <c r="G4328" s="379">
        <f t="shared" si="255"/>
        <v>95.667033333333336</v>
      </c>
      <c r="H4328" s="379">
        <v>95.667033333333336</v>
      </c>
      <c r="I4328" s="111"/>
    </row>
    <row r="4329" spans="1:9" ht="16.5" hidden="1" customHeight="1" x14ac:dyDescent="0.25">
      <c r="A4329" s="170"/>
      <c r="B4329" s="170"/>
      <c r="C4329" s="222"/>
      <c r="D4329" s="325"/>
      <c r="E4329" s="112"/>
      <c r="F4329" s="296"/>
      <c r="G4329" s="379"/>
      <c r="H4329" s="379"/>
      <c r="I4329" s="111"/>
    </row>
    <row r="4330" spans="1:9" ht="16.5" hidden="1" customHeight="1" x14ac:dyDescent="0.25">
      <c r="A4330" s="170"/>
      <c r="B4330" s="170"/>
      <c r="C4330" s="222"/>
      <c r="D4330" s="325" t="s">
        <v>549</v>
      </c>
      <c r="E4330" s="112">
        <v>5030105050</v>
      </c>
      <c r="F4330" s="242">
        <f>F4331+F4333</f>
        <v>4924430050</v>
      </c>
      <c r="G4330" s="333">
        <f t="shared" ref="G4330:G4342" si="256">F4330/E4330*100</f>
        <v>97.899149243413902</v>
      </c>
      <c r="H4330" s="333">
        <v>97.899149243413902</v>
      </c>
      <c r="I4330" s="111"/>
    </row>
    <row r="4331" spans="1:9" ht="16.5" hidden="1" customHeight="1" x14ac:dyDescent="0.25">
      <c r="A4331" s="170"/>
      <c r="B4331" s="170"/>
      <c r="C4331" s="222"/>
      <c r="D4331" s="325" t="s">
        <v>3167</v>
      </c>
      <c r="E4331" s="112">
        <v>564000000</v>
      </c>
      <c r="F4331" s="242">
        <f>F4332</f>
        <v>564000000</v>
      </c>
      <c r="G4331" s="333">
        <f t="shared" si="256"/>
        <v>100</v>
      </c>
      <c r="H4331" s="333">
        <v>100</v>
      </c>
      <c r="I4331" s="111"/>
    </row>
    <row r="4332" spans="1:9" ht="16.5" hidden="1" customHeight="1" x14ac:dyDescent="0.25">
      <c r="A4332" s="170"/>
      <c r="B4332" s="170"/>
      <c r="C4332" s="222"/>
      <c r="D4332" s="326" t="s">
        <v>3168</v>
      </c>
      <c r="E4332" s="172">
        <v>564000000</v>
      </c>
      <c r="F4332" s="243">
        <v>564000000</v>
      </c>
      <c r="G4332" s="379">
        <f t="shared" si="256"/>
        <v>100</v>
      </c>
      <c r="H4332" s="379">
        <v>100</v>
      </c>
      <c r="I4332" s="111"/>
    </row>
    <row r="4333" spans="1:9" ht="16.5" hidden="1" customHeight="1" x14ac:dyDescent="0.25">
      <c r="A4333" s="170"/>
      <c r="B4333" s="170"/>
      <c r="C4333" s="222"/>
      <c r="D4333" s="325" t="s">
        <v>3169</v>
      </c>
      <c r="E4333" s="112">
        <v>4466105050</v>
      </c>
      <c r="F4333" s="242">
        <f>SUM(F4334:F4342)</f>
        <v>4360430050</v>
      </c>
      <c r="G4333" s="333">
        <f t="shared" si="256"/>
        <v>97.633844282279028</v>
      </c>
      <c r="H4333" s="333">
        <v>97.633844282279028</v>
      </c>
      <c r="I4333" s="111"/>
    </row>
    <row r="4334" spans="1:9" ht="16.5" hidden="1" customHeight="1" x14ac:dyDescent="0.25">
      <c r="A4334" s="170"/>
      <c r="B4334" s="170"/>
      <c r="C4334" s="222"/>
      <c r="D4334" s="326" t="s">
        <v>3170</v>
      </c>
      <c r="E4334" s="197">
        <v>428550000</v>
      </c>
      <c r="F4334" s="243">
        <v>428550000</v>
      </c>
      <c r="G4334" s="379">
        <f t="shared" si="256"/>
        <v>100</v>
      </c>
      <c r="H4334" s="379">
        <v>100</v>
      </c>
      <c r="I4334" s="111"/>
    </row>
    <row r="4335" spans="1:9" ht="16.5" hidden="1" customHeight="1" x14ac:dyDescent="0.25">
      <c r="A4335" s="170"/>
      <c r="B4335" s="170"/>
      <c r="C4335" s="222"/>
      <c r="D4335" s="326" t="s">
        <v>3171</v>
      </c>
      <c r="E4335" s="197">
        <v>350000000</v>
      </c>
      <c r="F4335" s="243">
        <v>350000000</v>
      </c>
      <c r="G4335" s="379">
        <f t="shared" si="256"/>
        <v>100</v>
      </c>
      <c r="H4335" s="379">
        <v>100</v>
      </c>
      <c r="I4335" s="111"/>
    </row>
    <row r="4336" spans="1:9" ht="16.5" hidden="1" customHeight="1" x14ac:dyDescent="0.25">
      <c r="A4336" s="170"/>
      <c r="B4336" s="170"/>
      <c r="C4336" s="222"/>
      <c r="D4336" s="326" t="s">
        <v>3172</v>
      </c>
      <c r="E4336" s="197">
        <v>325000000</v>
      </c>
      <c r="F4336" s="243">
        <v>325000000</v>
      </c>
      <c r="G4336" s="379">
        <f t="shared" si="256"/>
        <v>100</v>
      </c>
      <c r="H4336" s="379">
        <v>100</v>
      </c>
      <c r="I4336" s="111"/>
    </row>
    <row r="4337" spans="1:9" ht="16.5" hidden="1" customHeight="1" x14ac:dyDescent="0.25">
      <c r="A4337" s="170"/>
      <c r="B4337" s="170"/>
      <c r="C4337" s="222"/>
      <c r="D4337" s="326" t="s">
        <v>3173</v>
      </c>
      <c r="E4337" s="197">
        <v>240470000</v>
      </c>
      <c r="F4337" s="243">
        <v>240470000</v>
      </c>
      <c r="G4337" s="379">
        <f t="shared" si="256"/>
        <v>100</v>
      </c>
      <c r="H4337" s="379">
        <v>100</v>
      </c>
      <c r="I4337" s="111"/>
    </row>
    <row r="4338" spans="1:9" ht="16.5" hidden="1" customHeight="1" x14ac:dyDescent="0.25">
      <c r="A4338" s="170"/>
      <c r="B4338" s="170"/>
      <c r="C4338" s="222"/>
      <c r="D4338" s="326" t="s">
        <v>3174</v>
      </c>
      <c r="E4338" s="197">
        <v>900000000</v>
      </c>
      <c r="F4338" s="243">
        <v>874200000</v>
      </c>
      <c r="G4338" s="379">
        <f t="shared" si="256"/>
        <v>97.13333333333334</v>
      </c>
      <c r="H4338" s="379">
        <v>97.13333333333334</v>
      </c>
      <c r="I4338" s="111"/>
    </row>
    <row r="4339" spans="1:9" ht="16.5" hidden="1" customHeight="1" x14ac:dyDescent="0.25">
      <c r="A4339" s="170"/>
      <c r="B4339" s="170"/>
      <c r="C4339" s="222"/>
      <c r="D4339" s="326" t="s">
        <v>3175</v>
      </c>
      <c r="E4339" s="197">
        <v>675000000</v>
      </c>
      <c r="F4339" s="243">
        <v>616125000</v>
      </c>
      <c r="G4339" s="379">
        <f t="shared" si="256"/>
        <v>91.277777777777786</v>
      </c>
      <c r="H4339" s="379">
        <v>91.277777777777786</v>
      </c>
      <c r="I4339" s="111"/>
    </row>
    <row r="4340" spans="1:9" ht="16.5" hidden="1" customHeight="1" x14ac:dyDescent="0.25">
      <c r="A4340" s="170"/>
      <c r="B4340" s="170"/>
      <c r="C4340" s="222"/>
      <c r="D4340" s="326" t="s">
        <v>3176</v>
      </c>
      <c r="E4340" s="197">
        <v>900000000</v>
      </c>
      <c r="F4340" s="243">
        <v>879000000</v>
      </c>
      <c r="G4340" s="379">
        <f t="shared" si="256"/>
        <v>97.666666666666671</v>
      </c>
      <c r="H4340" s="379">
        <v>97.666666666666671</v>
      </c>
      <c r="I4340" s="111"/>
    </row>
    <row r="4341" spans="1:9" ht="16.5" hidden="1" customHeight="1" x14ac:dyDescent="0.25">
      <c r="A4341" s="170"/>
      <c r="B4341" s="170"/>
      <c r="C4341" s="222"/>
      <c r="D4341" s="326" t="s">
        <v>3177</v>
      </c>
      <c r="E4341" s="197">
        <v>243835050</v>
      </c>
      <c r="F4341" s="243">
        <v>243835050</v>
      </c>
      <c r="G4341" s="379">
        <f t="shared" si="256"/>
        <v>100</v>
      </c>
      <c r="H4341" s="379">
        <v>100</v>
      </c>
      <c r="I4341" s="111"/>
    </row>
    <row r="4342" spans="1:9" ht="16.5" hidden="1" customHeight="1" x14ac:dyDescent="0.25">
      <c r="A4342" s="170"/>
      <c r="B4342" s="170"/>
      <c r="C4342" s="222"/>
      <c r="D4342" s="326" t="s">
        <v>3178</v>
      </c>
      <c r="E4342" s="197">
        <v>403250000</v>
      </c>
      <c r="F4342" s="243">
        <v>403250000</v>
      </c>
      <c r="G4342" s="379">
        <f t="shared" si="256"/>
        <v>100</v>
      </c>
      <c r="H4342" s="379">
        <v>100</v>
      </c>
      <c r="I4342" s="111"/>
    </row>
    <row r="4343" spans="1:9" ht="16.5" hidden="1" customHeight="1" x14ac:dyDescent="0.25">
      <c r="A4343" s="170"/>
      <c r="B4343" s="170"/>
      <c r="C4343" s="222"/>
      <c r="D4343" s="48"/>
      <c r="E4343" s="116"/>
      <c r="F4343" s="108"/>
      <c r="G4343" s="117"/>
      <c r="H4343" s="117"/>
      <c r="I4343" s="111"/>
    </row>
    <row r="4344" spans="1:9" ht="16.5" customHeight="1" x14ac:dyDescent="0.25">
      <c r="A4344" s="170"/>
      <c r="B4344" s="170"/>
      <c r="C4344" s="222" t="s">
        <v>3179</v>
      </c>
      <c r="D4344" s="328" t="s">
        <v>3180</v>
      </c>
      <c r="E4344" s="112">
        <f>E4345+E4366+E4389+E4395+E4403+E4409+E4413+E4418+E4433+E4441+E4449+E4454</f>
        <v>106591129000</v>
      </c>
      <c r="F4344" s="113">
        <f>+F4345+F4366+F4389+F4395+F4403+F4409+F4413+F4418+F4433+F4441+F4449+F4454</f>
        <v>104880387000</v>
      </c>
      <c r="G4344" s="114">
        <f>+F4344/E4344*100</f>
        <v>98.39504279948099</v>
      </c>
      <c r="H4344" s="114">
        <f>(H4345+H4366+H4389+H4395+H4403+H4409+H4414+H4419+H4434+H4442+H4450+H4455)/12</f>
        <v>99.25563562654969</v>
      </c>
      <c r="I4344" s="111"/>
    </row>
    <row r="4345" spans="1:9" ht="16.5" hidden="1" customHeight="1" x14ac:dyDescent="0.25">
      <c r="A4345" s="170"/>
      <c r="B4345" s="170"/>
      <c r="C4345" s="222"/>
      <c r="D4345" s="329" t="s">
        <v>3181</v>
      </c>
      <c r="E4345" s="112">
        <f>E4346+E4352+E4360+E4362</f>
        <v>31977308700</v>
      </c>
      <c r="F4345" s="242">
        <f>F4346+F4352+F4360+F4362</f>
        <v>31209655000</v>
      </c>
      <c r="G4345" s="333">
        <f t="shared" ref="G4345:G4364" si="257">F4345/E4345*100</f>
        <v>97.599379900285356</v>
      </c>
      <c r="H4345" s="333">
        <f t="shared" ref="H4345:H4364" si="258">F4345/E4345*100</f>
        <v>97.599379900285356</v>
      </c>
      <c r="I4345" s="111"/>
    </row>
    <row r="4346" spans="1:9" ht="16.5" hidden="1" customHeight="1" x14ac:dyDescent="0.25">
      <c r="A4346" s="170"/>
      <c r="B4346" s="170"/>
      <c r="C4346" s="222"/>
      <c r="D4346" s="48" t="s">
        <v>797</v>
      </c>
      <c r="E4346" s="112">
        <f>SUM(E4347:E4351)</f>
        <v>3365308700</v>
      </c>
      <c r="F4346" s="242">
        <f>SUM(F4347:F4351)</f>
        <v>3220325000</v>
      </c>
      <c r="G4346" s="333">
        <f t="shared" si="257"/>
        <v>95.691815731495893</v>
      </c>
      <c r="H4346" s="379">
        <f t="shared" si="258"/>
        <v>95.691815731495893</v>
      </c>
      <c r="I4346" s="111"/>
    </row>
    <row r="4347" spans="1:9" ht="16.5" hidden="1" customHeight="1" x14ac:dyDescent="0.25">
      <c r="A4347" s="170"/>
      <c r="B4347" s="170"/>
      <c r="C4347" s="222"/>
      <c r="D4347" s="119" t="s">
        <v>2870</v>
      </c>
      <c r="E4347" s="172">
        <v>1600000000</v>
      </c>
      <c r="F4347" s="243">
        <v>1455125000</v>
      </c>
      <c r="G4347" s="379">
        <f t="shared" si="257"/>
        <v>90.9453125</v>
      </c>
      <c r="H4347" s="379">
        <f t="shared" si="258"/>
        <v>90.9453125</v>
      </c>
      <c r="I4347" s="111"/>
    </row>
    <row r="4348" spans="1:9" ht="16.5" hidden="1" customHeight="1" x14ac:dyDescent="0.25">
      <c r="A4348" s="170"/>
      <c r="B4348" s="170"/>
      <c r="C4348" s="222"/>
      <c r="D4348" s="119" t="s">
        <v>985</v>
      </c>
      <c r="E4348" s="172">
        <v>150000000</v>
      </c>
      <c r="F4348" s="243">
        <v>150000000</v>
      </c>
      <c r="G4348" s="379">
        <f t="shared" si="257"/>
        <v>100</v>
      </c>
      <c r="H4348" s="379">
        <f t="shared" si="258"/>
        <v>100</v>
      </c>
      <c r="I4348" s="111"/>
    </row>
    <row r="4349" spans="1:9" ht="16.5" hidden="1" customHeight="1" x14ac:dyDescent="0.25">
      <c r="A4349" s="170"/>
      <c r="B4349" s="170"/>
      <c r="C4349" s="222"/>
      <c r="D4349" s="119" t="s">
        <v>3182</v>
      </c>
      <c r="E4349" s="172">
        <v>260000000</v>
      </c>
      <c r="F4349" s="243">
        <v>260000000</v>
      </c>
      <c r="G4349" s="379">
        <f t="shared" si="257"/>
        <v>100</v>
      </c>
      <c r="H4349" s="379">
        <f t="shared" si="258"/>
        <v>100</v>
      </c>
      <c r="I4349" s="111"/>
    </row>
    <row r="4350" spans="1:9" ht="16.5" hidden="1" customHeight="1" x14ac:dyDescent="0.25">
      <c r="A4350" s="170"/>
      <c r="B4350" s="170"/>
      <c r="C4350" s="222"/>
      <c r="D4350" s="119" t="s">
        <v>3183</v>
      </c>
      <c r="E4350" s="172">
        <v>250000000</v>
      </c>
      <c r="F4350" s="243">
        <v>250000000</v>
      </c>
      <c r="G4350" s="379">
        <f t="shared" si="257"/>
        <v>100</v>
      </c>
      <c r="H4350" s="379">
        <f t="shared" si="258"/>
        <v>100</v>
      </c>
      <c r="I4350" s="111"/>
    </row>
    <row r="4351" spans="1:9" ht="16.5" hidden="1" customHeight="1" x14ac:dyDescent="0.25">
      <c r="A4351" s="170"/>
      <c r="B4351" s="170"/>
      <c r="C4351" s="222"/>
      <c r="D4351" s="119" t="s">
        <v>3184</v>
      </c>
      <c r="E4351" s="172">
        <v>1105308700</v>
      </c>
      <c r="F4351" s="243">
        <v>1105200000</v>
      </c>
      <c r="G4351" s="379">
        <f t="shared" si="257"/>
        <v>99.990165643317567</v>
      </c>
      <c r="H4351" s="379">
        <f t="shared" si="258"/>
        <v>99.990165643317567</v>
      </c>
      <c r="I4351" s="111"/>
    </row>
    <row r="4352" spans="1:9" ht="16.5" hidden="1" customHeight="1" x14ac:dyDescent="0.25">
      <c r="A4352" s="170"/>
      <c r="B4352" s="170"/>
      <c r="C4352" s="222"/>
      <c r="D4352" s="48" t="s">
        <v>680</v>
      </c>
      <c r="E4352" s="112">
        <f>SUM(E4353:E4359)</f>
        <v>28022000000</v>
      </c>
      <c r="F4352" s="242">
        <f>SUM(F4353:F4359)</f>
        <v>27579330000</v>
      </c>
      <c r="G4352" s="333">
        <f t="shared" si="257"/>
        <v>98.420276925273001</v>
      </c>
      <c r="H4352" s="333">
        <f t="shared" si="258"/>
        <v>98.420276925273001</v>
      </c>
      <c r="I4352" s="111"/>
    </row>
    <row r="4353" spans="1:9" ht="16.5" hidden="1" customHeight="1" x14ac:dyDescent="0.25">
      <c r="A4353" s="170"/>
      <c r="B4353" s="170"/>
      <c r="C4353" s="222"/>
      <c r="D4353" s="119" t="s">
        <v>2870</v>
      </c>
      <c r="E4353" s="172">
        <v>5925000000</v>
      </c>
      <c r="F4353" s="243">
        <v>5795880000</v>
      </c>
      <c r="G4353" s="379">
        <f t="shared" si="257"/>
        <v>97.820759493670877</v>
      </c>
      <c r="H4353" s="379">
        <f t="shared" si="258"/>
        <v>97.820759493670877</v>
      </c>
      <c r="I4353" s="111"/>
    </row>
    <row r="4354" spans="1:9" ht="16.5" hidden="1" customHeight="1" x14ac:dyDescent="0.25">
      <c r="A4354" s="170"/>
      <c r="B4354" s="170"/>
      <c r="C4354" s="222"/>
      <c r="D4354" s="119" t="s">
        <v>3185</v>
      </c>
      <c r="E4354" s="172">
        <v>6615000000</v>
      </c>
      <c r="F4354" s="243">
        <v>6504500000</v>
      </c>
      <c r="G4354" s="379">
        <f t="shared" si="257"/>
        <v>98.329554043839764</v>
      </c>
      <c r="H4354" s="379">
        <f t="shared" si="258"/>
        <v>98.329554043839764</v>
      </c>
      <c r="I4354" s="111"/>
    </row>
    <row r="4355" spans="1:9" ht="16.5" hidden="1" customHeight="1" x14ac:dyDescent="0.25">
      <c r="A4355" s="170"/>
      <c r="B4355" s="170"/>
      <c r="C4355" s="222"/>
      <c r="D4355" s="119" t="s">
        <v>3186</v>
      </c>
      <c r="E4355" s="172">
        <v>6000000000</v>
      </c>
      <c r="F4355" s="243">
        <v>5847600000</v>
      </c>
      <c r="G4355" s="379">
        <f t="shared" si="257"/>
        <v>97.460000000000008</v>
      </c>
      <c r="H4355" s="379">
        <f t="shared" si="258"/>
        <v>97.460000000000008</v>
      </c>
      <c r="I4355" s="111"/>
    </row>
    <row r="4356" spans="1:9" ht="16.5" hidden="1" customHeight="1" x14ac:dyDescent="0.25">
      <c r="A4356" s="170"/>
      <c r="B4356" s="170"/>
      <c r="C4356" s="222"/>
      <c r="D4356" s="119" t="s">
        <v>3187</v>
      </c>
      <c r="E4356" s="172">
        <v>550000000</v>
      </c>
      <c r="F4356" s="243">
        <v>550000000</v>
      </c>
      <c r="G4356" s="379">
        <f t="shared" si="257"/>
        <v>100</v>
      </c>
      <c r="H4356" s="379">
        <f t="shared" si="258"/>
        <v>100</v>
      </c>
      <c r="I4356" s="111"/>
    </row>
    <row r="4357" spans="1:9" ht="16.5" hidden="1" customHeight="1" x14ac:dyDescent="0.25">
      <c r="A4357" s="170"/>
      <c r="B4357" s="170"/>
      <c r="C4357" s="222"/>
      <c r="D4357" s="119" t="s">
        <v>3188</v>
      </c>
      <c r="E4357" s="172">
        <v>7632000000</v>
      </c>
      <c r="F4357" s="243">
        <v>7632000000</v>
      </c>
      <c r="G4357" s="379">
        <f t="shared" si="257"/>
        <v>100</v>
      </c>
      <c r="H4357" s="379">
        <f t="shared" si="258"/>
        <v>100</v>
      </c>
      <c r="I4357" s="111"/>
    </row>
    <row r="4358" spans="1:9" ht="16.5" hidden="1" customHeight="1" x14ac:dyDescent="0.25">
      <c r="A4358" s="170"/>
      <c r="B4358" s="170"/>
      <c r="C4358" s="222"/>
      <c r="D4358" s="119" t="s">
        <v>3189</v>
      </c>
      <c r="E4358" s="172">
        <v>500000000</v>
      </c>
      <c r="F4358" s="243">
        <v>449350000</v>
      </c>
      <c r="G4358" s="379">
        <f t="shared" si="257"/>
        <v>89.87</v>
      </c>
      <c r="H4358" s="379">
        <f t="shared" si="258"/>
        <v>89.87</v>
      </c>
      <c r="I4358" s="111"/>
    </row>
    <row r="4359" spans="1:9" ht="16.5" hidden="1" customHeight="1" x14ac:dyDescent="0.25">
      <c r="A4359" s="170"/>
      <c r="B4359" s="170"/>
      <c r="C4359" s="222"/>
      <c r="D4359" s="119" t="s">
        <v>3190</v>
      </c>
      <c r="E4359" s="172">
        <v>800000000</v>
      </c>
      <c r="F4359" s="243">
        <v>800000000</v>
      </c>
      <c r="G4359" s="379">
        <f t="shared" si="257"/>
        <v>100</v>
      </c>
      <c r="H4359" s="379">
        <f t="shared" si="258"/>
        <v>100</v>
      </c>
      <c r="I4359" s="111"/>
    </row>
    <row r="4360" spans="1:9" ht="16.5" hidden="1" customHeight="1" x14ac:dyDescent="0.25">
      <c r="A4360" s="170"/>
      <c r="B4360" s="170"/>
      <c r="C4360" s="222"/>
      <c r="D4360" s="48" t="s">
        <v>693</v>
      </c>
      <c r="E4360" s="112">
        <f>+E4361</f>
        <v>150000000</v>
      </c>
      <c r="F4360" s="242">
        <f>F4361</f>
        <v>150000000</v>
      </c>
      <c r="G4360" s="333">
        <f t="shared" si="257"/>
        <v>100</v>
      </c>
      <c r="H4360" s="333">
        <f t="shared" si="258"/>
        <v>100</v>
      </c>
      <c r="I4360" s="111"/>
    </row>
    <row r="4361" spans="1:9" ht="16.5" hidden="1" customHeight="1" x14ac:dyDescent="0.25">
      <c r="A4361" s="170"/>
      <c r="B4361" s="170"/>
      <c r="C4361" s="222"/>
      <c r="D4361" s="119" t="s">
        <v>3191</v>
      </c>
      <c r="E4361" s="172">
        <v>150000000</v>
      </c>
      <c r="F4361" s="243">
        <v>150000000</v>
      </c>
      <c r="G4361" s="379">
        <f t="shared" si="257"/>
        <v>100</v>
      </c>
      <c r="H4361" s="379">
        <f t="shared" si="258"/>
        <v>100</v>
      </c>
      <c r="I4361" s="111"/>
    </row>
    <row r="4362" spans="1:9" ht="16.5" hidden="1" customHeight="1" x14ac:dyDescent="0.25">
      <c r="A4362" s="170"/>
      <c r="B4362" s="170"/>
      <c r="C4362" s="222"/>
      <c r="D4362" s="48" t="s">
        <v>1371</v>
      </c>
      <c r="E4362" s="112">
        <f>+E4363+E4364</f>
        <v>440000000</v>
      </c>
      <c r="F4362" s="242">
        <f>F4363+F4364</f>
        <v>260000000</v>
      </c>
      <c r="G4362" s="333">
        <f t="shared" si="257"/>
        <v>59.090909090909093</v>
      </c>
      <c r="H4362" s="333">
        <f t="shared" si="258"/>
        <v>59.090909090909093</v>
      </c>
      <c r="I4362" s="111"/>
    </row>
    <row r="4363" spans="1:9" ht="16.5" hidden="1" customHeight="1" x14ac:dyDescent="0.25">
      <c r="A4363" s="170"/>
      <c r="B4363" s="170"/>
      <c r="C4363" s="222"/>
      <c r="D4363" s="119" t="s">
        <v>3192</v>
      </c>
      <c r="E4363" s="172">
        <v>180000000</v>
      </c>
      <c r="F4363" s="243">
        <v>0</v>
      </c>
      <c r="G4363" s="379">
        <f t="shared" si="257"/>
        <v>0</v>
      </c>
      <c r="H4363" s="379">
        <f t="shared" si="258"/>
        <v>0</v>
      </c>
      <c r="I4363" s="111"/>
    </row>
    <row r="4364" spans="1:9" ht="36" hidden="1" customHeight="1" x14ac:dyDescent="0.25">
      <c r="A4364" s="170"/>
      <c r="B4364" s="170"/>
      <c r="C4364" s="222"/>
      <c r="D4364" s="119" t="s">
        <v>3193</v>
      </c>
      <c r="E4364" s="172">
        <v>260000000</v>
      </c>
      <c r="F4364" s="243">
        <v>260000000</v>
      </c>
      <c r="G4364" s="379">
        <f t="shared" si="257"/>
        <v>100</v>
      </c>
      <c r="H4364" s="379">
        <f t="shared" si="258"/>
        <v>100</v>
      </c>
      <c r="I4364" s="111"/>
    </row>
    <row r="4365" spans="1:9" ht="16.5" hidden="1" customHeight="1" x14ac:dyDescent="0.25">
      <c r="A4365" s="170"/>
      <c r="B4365" s="170"/>
      <c r="C4365" s="222"/>
      <c r="D4365" s="119"/>
      <c r="E4365" s="172"/>
      <c r="F4365" s="243"/>
      <c r="G4365" s="379"/>
      <c r="H4365" s="379"/>
      <c r="I4365" s="111"/>
    </row>
    <row r="4366" spans="1:9" ht="16.5" hidden="1" customHeight="1" x14ac:dyDescent="0.25">
      <c r="A4366" s="170"/>
      <c r="B4366" s="170"/>
      <c r="C4366" s="222"/>
      <c r="D4366" s="48" t="s">
        <v>150</v>
      </c>
      <c r="E4366" s="112">
        <f>+E4367+E4369+E4373+E4375+E4377+E4380+E4383+E4385</f>
        <v>15988669350</v>
      </c>
      <c r="F4366" s="242">
        <f>F4367+F4369+F4373+F4375+F4377+F4380+F4383+F4385</f>
        <v>15267669350</v>
      </c>
      <c r="G4366" s="333">
        <f t="shared" ref="G4366:G4387" si="259">F4366/E4366*100</f>
        <v>95.490556567172987</v>
      </c>
      <c r="H4366" s="333">
        <f t="shared" ref="H4366:H4387" si="260">F4366/E4366*100</f>
        <v>95.490556567172987</v>
      </c>
      <c r="I4366" s="111"/>
    </row>
    <row r="4367" spans="1:9" ht="16.5" hidden="1" customHeight="1" x14ac:dyDescent="0.25">
      <c r="A4367" s="170"/>
      <c r="B4367" s="170"/>
      <c r="C4367" s="222"/>
      <c r="D4367" s="48" t="s">
        <v>156</v>
      </c>
      <c r="E4367" s="112">
        <f>+E4368</f>
        <v>1541200000</v>
      </c>
      <c r="F4367" s="242">
        <f>F4368</f>
        <v>1541200000</v>
      </c>
      <c r="G4367" s="333">
        <f t="shared" si="259"/>
        <v>100</v>
      </c>
      <c r="H4367" s="333">
        <f t="shared" si="260"/>
        <v>100</v>
      </c>
      <c r="I4367" s="111"/>
    </row>
    <row r="4368" spans="1:9" ht="16.5" hidden="1" customHeight="1" x14ac:dyDescent="0.25">
      <c r="A4368" s="170"/>
      <c r="B4368" s="170"/>
      <c r="C4368" s="222"/>
      <c r="D4368" s="119" t="s">
        <v>3194</v>
      </c>
      <c r="E4368" s="172">
        <v>1541200000</v>
      </c>
      <c r="F4368" s="243">
        <v>1541200000</v>
      </c>
      <c r="G4368" s="379">
        <f t="shared" si="259"/>
        <v>100</v>
      </c>
      <c r="H4368" s="379">
        <f t="shared" si="260"/>
        <v>100</v>
      </c>
      <c r="I4368" s="111"/>
    </row>
    <row r="4369" spans="1:9" ht="16.5" hidden="1" customHeight="1" x14ac:dyDescent="0.25">
      <c r="A4369" s="170"/>
      <c r="B4369" s="170"/>
      <c r="C4369" s="222"/>
      <c r="D4369" s="48" t="s">
        <v>166</v>
      </c>
      <c r="E4369" s="112">
        <f>+E4370+E4371+E4372</f>
        <v>2483433396</v>
      </c>
      <c r="F4369" s="242">
        <f>SUM(F4370:F4372)</f>
        <v>2483433396</v>
      </c>
      <c r="G4369" s="333">
        <f t="shared" si="259"/>
        <v>100</v>
      </c>
      <c r="H4369" s="333">
        <f t="shared" si="260"/>
        <v>100</v>
      </c>
      <c r="I4369" s="111"/>
    </row>
    <row r="4370" spans="1:9" ht="16.5" hidden="1" customHeight="1" x14ac:dyDescent="0.25">
      <c r="A4370" s="170"/>
      <c r="B4370" s="170"/>
      <c r="C4370" s="222"/>
      <c r="D4370" s="119" t="s">
        <v>700</v>
      </c>
      <c r="E4370" s="172">
        <v>975000000</v>
      </c>
      <c r="F4370" s="243">
        <v>975000000</v>
      </c>
      <c r="G4370" s="379">
        <f t="shared" si="259"/>
        <v>100</v>
      </c>
      <c r="H4370" s="379">
        <f t="shared" si="260"/>
        <v>100</v>
      </c>
      <c r="I4370" s="111"/>
    </row>
    <row r="4371" spans="1:9" ht="16.5" hidden="1" customHeight="1" x14ac:dyDescent="0.25">
      <c r="A4371" s="170"/>
      <c r="B4371" s="170"/>
      <c r="C4371" s="222"/>
      <c r="D4371" s="119" t="s">
        <v>3195</v>
      </c>
      <c r="E4371" s="172">
        <v>308433396</v>
      </c>
      <c r="F4371" s="243">
        <v>308433396</v>
      </c>
      <c r="G4371" s="379">
        <f t="shared" si="259"/>
        <v>100</v>
      </c>
      <c r="H4371" s="379">
        <f t="shared" si="260"/>
        <v>100</v>
      </c>
      <c r="I4371" s="111"/>
    </row>
    <row r="4372" spans="1:9" ht="16.5" hidden="1" customHeight="1" x14ac:dyDescent="0.25">
      <c r="A4372" s="170"/>
      <c r="B4372" s="170"/>
      <c r="C4372" s="222"/>
      <c r="D4372" s="119" t="s">
        <v>3196</v>
      </c>
      <c r="E4372" s="172">
        <v>1200000000</v>
      </c>
      <c r="F4372" s="243">
        <v>1200000000</v>
      </c>
      <c r="G4372" s="379">
        <f t="shared" si="259"/>
        <v>100</v>
      </c>
      <c r="H4372" s="379">
        <f t="shared" si="260"/>
        <v>100</v>
      </c>
      <c r="I4372" s="111"/>
    </row>
    <row r="4373" spans="1:9" ht="16.5" hidden="1" customHeight="1" x14ac:dyDescent="0.25">
      <c r="A4373" s="170"/>
      <c r="B4373" s="170"/>
      <c r="C4373" s="222"/>
      <c r="D4373" s="48" t="s">
        <v>177</v>
      </c>
      <c r="E4373" s="112">
        <f>+E4374</f>
        <v>700000000</v>
      </c>
      <c r="F4373" s="242">
        <f>F4374</f>
        <v>700000000</v>
      </c>
      <c r="G4373" s="333">
        <f t="shared" si="259"/>
        <v>100</v>
      </c>
      <c r="H4373" s="333">
        <f t="shared" si="260"/>
        <v>100</v>
      </c>
      <c r="I4373" s="111"/>
    </row>
    <row r="4374" spans="1:9" ht="16.5" hidden="1" customHeight="1" x14ac:dyDescent="0.25">
      <c r="A4374" s="170"/>
      <c r="B4374" s="170"/>
      <c r="C4374" s="222"/>
      <c r="D4374" s="119" t="s">
        <v>1033</v>
      </c>
      <c r="E4374" s="172">
        <v>700000000</v>
      </c>
      <c r="F4374" s="243">
        <v>700000000</v>
      </c>
      <c r="G4374" s="379">
        <f t="shared" si="259"/>
        <v>100</v>
      </c>
      <c r="H4374" s="379">
        <f t="shared" si="260"/>
        <v>100</v>
      </c>
      <c r="I4374" s="111"/>
    </row>
    <row r="4375" spans="1:9" ht="16.5" hidden="1" customHeight="1" x14ac:dyDescent="0.25">
      <c r="A4375" s="170"/>
      <c r="B4375" s="170"/>
      <c r="C4375" s="222"/>
      <c r="D4375" s="48" t="s">
        <v>182</v>
      </c>
      <c r="E4375" s="112">
        <f>+E4376</f>
        <v>1104500000</v>
      </c>
      <c r="F4375" s="242">
        <f>F4376</f>
        <v>1104500000</v>
      </c>
      <c r="G4375" s="333">
        <f t="shared" si="259"/>
        <v>100</v>
      </c>
      <c r="H4375" s="333">
        <f t="shared" si="260"/>
        <v>100</v>
      </c>
      <c r="I4375" s="111"/>
    </row>
    <row r="4376" spans="1:9" ht="16.5" hidden="1" customHeight="1" x14ac:dyDescent="0.25">
      <c r="A4376" s="170"/>
      <c r="B4376" s="170"/>
      <c r="C4376" s="222"/>
      <c r="D4376" s="119" t="s">
        <v>3197</v>
      </c>
      <c r="E4376" s="172">
        <v>1104500000</v>
      </c>
      <c r="F4376" s="243">
        <v>1104500000</v>
      </c>
      <c r="G4376" s="379">
        <f t="shared" si="259"/>
        <v>100</v>
      </c>
      <c r="H4376" s="379">
        <f t="shared" si="260"/>
        <v>100</v>
      </c>
      <c r="I4376" s="111"/>
    </row>
    <row r="4377" spans="1:9" ht="36" hidden="1" customHeight="1" x14ac:dyDescent="0.25">
      <c r="A4377" s="170"/>
      <c r="B4377" s="170"/>
      <c r="C4377" s="222"/>
      <c r="D4377" s="217" t="s">
        <v>3198</v>
      </c>
      <c r="E4377" s="330">
        <f>+E4378+E4379</f>
        <v>1979450000</v>
      </c>
      <c r="F4377" s="242">
        <f>SUM(F4378:F4379)</f>
        <v>1894450000</v>
      </c>
      <c r="G4377" s="333">
        <f t="shared" si="259"/>
        <v>95.705877895374982</v>
      </c>
      <c r="H4377" s="333">
        <f t="shared" si="260"/>
        <v>95.705877895374982</v>
      </c>
      <c r="I4377" s="111"/>
    </row>
    <row r="4378" spans="1:9" ht="16.5" hidden="1" customHeight="1" x14ac:dyDescent="0.25">
      <c r="A4378" s="170"/>
      <c r="B4378" s="170"/>
      <c r="C4378" s="222"/>
      <c r="D4378" s="119" t="s">
        <v>1042</v>
      </c>
      <c r="E4378" s="172">
        <v>1200000000</v>
      </c>
      <c r="F4378" s="243">
        <v>1115000000</v>
      </c>
      <c r="G4378" s="379">
        <f t="shared" si="259"/>
        <v>92.916666666666671</v>
      </c>
      <c r="H4378" s="379">
        <f t="shared" si="260"/>
        <v>92.916666666666671</v>
      </c>
      <c r="I4378" s="111"/>
    </row>
    <row r="4379" spans="1:9" ht="16.5" hidden="1" customHeight="1" x14ac:dyDescent="0.25">
      <c r="A4379" s="170"/>
      <c r="B4379" s="170"/>
      <c r="C4379" s="222"/>
      <c r="D4379" s="119" t="s">
        <v>3199</v>
      </c>
      <c r="E4379" s="172">
        <v>779450000</v>
      </c>
      <c r="F4379" s="243">
        <v>779450000</v>
      </c>
      <c r="G4379" s="379">
        <f t="shared" si="259"/>
        <v>100</v>
      </c>
      <c r="H4379" s="379">
        <f t="shared" si="260"/>
        <v>100</v>
      </c>
      <c r="I4379" s="111"/>
    </row>
    <row r="4380" spans="1:9" ht="16.5" hidden="1" customHeight="1" x14ac:dyDescent="0.25">
      <c r="A4380" s="170"/>
      <c r="B4380" s="170"/>
      <c r="C4380" s="222"/>
      <c r="D4380" s="48" t="s">
        <v>196</v>
      </c>
      <c r="E4380" s="112">
        <f>+E4381+E4382</f>
        <v>1584665182</v>
      </c>
      <c r="F4380" s="242">
        <f>SUM(F4381:F4382)</f>
        <v>1584665182</v>
      </c>
      <c r="G4380" s="333">
        <f t="shared" si="259"/>
        <v>100</v>
      </c>
      <c r="H4380" s="333">
        <f t="shared" si="260"/>
        <v>100</v>
      </c>
      <c r="I4380" s="111"/>
    </row>
    <row r="4381" spans="1:9" ht="16.5" hidden="1" customHeight="1" x14ac:dyDescent="0.25">
      <c r="A4381" s="170"/>
      <c r="B4381" s="170"/>
      <c r="C4381" s="222"/>
      <c r="D4381" s="119" t="s">
        <v>3200</v>
      </c>
      <c r="E4381" s="172">
        <v>1000000000</v>
      </c>
      <c r="F4381" s="243">
        <v>1000000000</v>
      </c>
      <c r="G4381" s="379">
        <f t="shared" si="259"/>
        <v>100</v>
      </c>
      <c r="H4381" s="379">
        <f t="shared" si="260"/>
        <v>100</v>
      </c>
      <c r="I4381" s="111"/>
    </row>
    <row r="4382" spans="1:9" ht="16.5" hidden="1" customHeight="1" x14ac:dyDescent="0.25">
      <c r="A4382" s="170"/>
      <c r="B4382" s="170"/>
      <c r="C4382" s="222"/>
      <c r="D4382" s="119" t="s">
        <v>3201</v>
      </c>
      <c r="E4382" s="172">
        <v>584665182</v>
      </c>
      <c r="F4382" s="243">
        <v>584665182</v>
      </c>
      <c r="G4382" s="379">
        <f t="shared" si="259"/>
        <v>100</v>
      </c>
      <c r="H4382" s="379">
        <f t="shared" si="260"/>
        <v>100</v>
      </c>
      <c r="I4382" s="111"/>
    </row>
    <row r="4383" spans="1:9" ht="16.5" hidden="1" customHeight="1" x14ac:dyDescent="0.25">
      <c r="A4383" s="170"/>
      <c r="B4383" s="170"/>
      <c r="C4383" s="222"/>
      <c r="D4383" s="48" t="s">
        <v>3202</v>
      </c>
      <c r="E4383" s="112">
        <f>+E4384</f>
        <v>651420772</v>
      </c>
      <c r="F4383" s="242">
        <f>SUM(F4384)</f>
        <v>651420772</v>
      </c>
      <c r="G4383" s="333">
        <f t="shared" si="259"/>
        <v>100</v>
      </c>
      <c r="H4383" s="333">
        <f t="shared" si="260"/>
        <v>100</v>
      </c>
      <c r="I4383" s="111"/>
    </row>
    <row r="4384" spans="1:9" ht="16.5" hidden="1" customHeight="1" x14ac:dyDescent="0.25">
      <c r="A4384" s="170"/>
      <c r="B4384" s="170"/>
      <c r="C4384" s="222"/>
      <c r="D4384" s="119" t="s">
        <v>3203</v>
      </c>
      <c r="E4384" s="172">
        <v>651420772</v>
      </c>
      <c r="F4384" s="243">
        <v>651420772</v>
      </c>
      <c r="G4384" s="379">
        <f t="shared" si="259"/>
        <v>100</v>
      </c>
      <c r="H4384" s="379">
        <f t="shared" si="260"/>
        <v>100</v>
      </c>
      <c r="I4384" s="111"/>
    </row>
    <row r="4385" spans="1:9" ht="16.5" hidden="1" customHeight="1" x14ac:dyDescent="0.25">
      <c r="A4385" s="170"/>
      <c r="B4385" s="170"/>
      <c r="C4385" s="222"/>
      <c r="D4385" s="48" t="s">
        <v>202</v>
      </c>
      <c r="E4385" s="112">
        <f>+E4386+E4387</f>
        <v>5944000000</v>
      </c>
      <c r="F4385" s="242">
        <f>SUM(F4386:F4387)</f>
        <v>5308000000</v>
      </c>
      <c r="G4385" s="333">
        <f t="shared" si="259"/>
        <v>89.300134589502022</v>
      </c>
      <c r="H4385" s="333">
        <f t="shared" si="260"/>
        <v>89.300134589502022</v>
      </c>
      <c r="I4385" s="111"/>
    </row>
    <row r="4386" spans="1:9" ht="18" hidden="1" customHeight="1" x14ac:dyDescent="0.25">
      <c r="A4386" s="170"/>
      <c r="B4386" s="170"/>
      <c r="C4386" s="222"/>
      <c r="D4386" s="119" t="s">
        <v>3204</v>
      </c>
      <c r="E4386" s="172">
        <v>1060000000</v>
      </c>
      <c r="F4386" s="243">
        <v>1060000000</v>
      </c>
      <c r="G4386" s="379">
        <f t="shared" si="259"/>
        <v>100</v>
      </c>
      <c r="H4386" s="379">
        <f t="shared" si="260"/>
        <v>100</v>
      </c>
      <c r="I4386" s="111"/>
    </row>
    <row r="4387" spans="1:9" ht="16.5" hidden="1" customHeight="1" x14ac:dyDescent="0.25">
      <c r="A4387" s="170"/>
      <c r="B4387" s="170"/>
      <c r="C4387" s="222"/>
      <c r="D4387" s="119" t="s">
        <v>3205</v>
      </c>
      <c r="E4387" s="172">
        <v>4884000000</v>
      </c>
      <c r="F4387" s="243">
        <v>4248000000</v>
      </c>
      <c r="G4387" s="379">
        <f t="shared" si="259"/>
        <v>86.977886977886982</v>
      </c>
      <c r="H4387" s="379">
        <f t="shared" si="260"/>
        <v>86.977886977886982</v>
      </c>
      <c r="I4387" s="111"/>
    </row>
    <row r="4388" spans="1:9" ht="16.5" hidden="1" customHeight="1" x14ac:dyDescent="0.25">
      <c r="A4388" s="170"/>
      <c r="B4388" s="170"/>
      <c r="C4388" s="222"/>
      <c r="D4388" s="217"/>
      <c r="E4388" s="112"/>
      <c r="F4388" s="243"/>
      <c r="G4388" s="379"/>
      <c r="H4388" s="379"/>
      <c r="I4388" s="111"/>
    </row>
    <row r="4389" spans="1:9" ht="16.5" hidden="1" customHeight="1" x14ac:dyDescent="0.25">
      <c r="A4389" s="170"/>
      <c r="B4389" s="170"/>
      <c r="C4389" s="222"/>
      <c r="D4389" s="48" t="s">
        <v>3206</v>
      </c>
      <c r="E4389" s="112">
        <f>E4390+E4392</f>
        <v>19218255800</v>
      </c>
      <c r="F4389" s="242">
        <f>F4390+F4392</f>
        <v>19015946800</v>
      </c>
      <c r="G4389" s="333">
        <f>F4389/E4389*100</f>
        <v>98.947308215139898</v>
      </c>
      <c r="H4389" s="333">
        <f>F4389/E4389*100</f>
        <v>98.947308215139898</v>
      </c>
      <c r="I4389" s="111"/>
    </row>
    <row r="4390" spans="1:9" ht="16.5" hidden="1" customHeight="1" x14ac:dyDescent="0.25">
      <c r="A4390" s="170"/>
      <c r="B4390" s="170"/>
      <c r="C4390" s="222"/>
      <c r="D4390" s="48" t="s">
        <v>3207</v>
      </c>
      <c r="E4390" s="112">
        <f>E4391</f>
        <v>3000000000</v>
      </c>
      <c r="F4390" s="242">
        <f>F4391</f>
        <v>2939875000</v>
      </c>
      <c r="G4390" s="333">
        <f>F4390/E4390*100</f>
        <v>97.995833333333337</v>
      </c>
      <c r="H4390" s="333">
        <f>F4390/E4390*100</f>
        <v>97.995833333333337</v>
      </c>
      <c r="I4390" s="111"/>
    </row>
    <row r="4391" spans="1:9" ht="16.5" hidden="1" customHeight="1" x14ac:dyDescent="0.25">
      <c r="A4391" s="170"/>
      <c r="B4391" s="170"/>
      <c r="C4391" s="222"/>
      <c r="D4391" s="119" t="s">
        <v>3208</v>
      </c>
      <c r="E4391" s="172">
        <v>3000000000</v>
      </c>
      <c r="F4391" s="243">
        <v>2939875000</v>
      </c>
      <c r="G4391" s="379">
        <f>F4391/E4391*100</f>
        <v>97.995833333333337</v>
      </c>
      <c r="H4391" s="379">
        <f>F4391/E4391*100</f>
        <v>97.995833333333337</v>
      </c>
      <c r="I4391" s="111"/>
    </row>
    <row r="4392" spans="1:9" s="115" customFormat="1" ht="16.5" hidden="1" customHeight="1" x14ac:dyDescent="0.25">
      <c r="A4392" s="171"/>
      <c r="B4392" s="171"/>
      <c r="C4392" s="222"/>
      <c r="D4392" s="217" t="s">
        <v>729</v>
      </c>
      <c r="E4392" s="112">
        <f>+E4393</f>
        <v>16218255800</v>
      </c>
      <c r="F4392" s="242">
        <f>F4393</f>
        <v>16076071800</v>
      </c>
      <c r="G4392" s="333">
        <f>F4392/E4392*100</f>
        <v>99.123308931901306</v>
      </c>
      <c r="H4392" s="333">
        <f>F4392/E4392*100</f>
        <v>99.123308931901306</v>
      </c>
      <c r="I4392" s="121"/>
    </row>
    <row r="4393" spans="1:9" ht="16.5" hidden="1" customHeight="1" x14ac:dyDescent="0.25">
      <c r="A4393" s="170"/>
      <c r="B4393" s="170"/>
      <c r="C4393" s="222"/>
      <c r="D4393" s="119" t="s">
        <v>3209</v>
      </c>
      <c r="E4393" s="172">
        <v>16218255800</v>
      </c>
      <c r="F4393" s="243">
        <v>16076071800</v>
      </c>
      <c r="G4393" s="379">
        <f>F4393/E4393*100</f>
        <v>99.123308931901306</v>
      </c>
      <c r="H4393" s="379">
        <f>F4393/E4393*100</f>
        <v>99.123308931901306</v>
      </c>
      <c r="I4393" s="111"/>
    </row>
    <row r="4394" spans="1:9" ht="16.5" hidden="1" customHeight="1" x14ac:dyDescent="0.25">
      <c r="A4394" s="170"/>
      <c r="B4394" s="170"/>
      <c r="C4394" s="222"/>
      <c r="D4394" s="217"/>
      <c r="E4394" s="112"/>
      <c r="F4394" s="243"/>
      <c r="G4394" s="379"/>
      <c r="H4394" s="379"/>
      <c r="I4394" s="111"/>
    </row>
    <row r="4395" spans="1:9" ht="16.5" hidden="1" customHeight="1" x14ac:dyDescent="0.25">
      <c r="A4395" s="170"/>
      <c r="B4395" s="170"/>
      <c r="C4395" s="222"/>
      <c r="D4395" s="48" t="s">
        <v>1747</v>
      </c>
      <c r="E4395" s="112">
        <f>+E4396+E4398+E4400</f>
        <v>5774810000</v>
      </c>
      <c r="F4395" s="242">
        <f>F4396+F4398+F4400</f>
        <v>5774810000</v>
      </c>
      <c r="G4395" s="379">
        <f t="shared" ref="G4395:G4401" si="261">F4395/E4395*100</f>
        <v>100</v>
      </c>
      <c r="H4395" s="379">
        <f t="shared" ref="H4395:H4401" si="262">F4395/E4395*100</f>
        <v>100</v>
      </c>
      <c r="I4395" s="111"/>
    </row>
    <row r="4396" spans="1:9" ht="16.5" hidden="1" customHeight="1" x14ac:dyDescent="0.25">
      <c r="A4396" s="170"/>
      <c r="B4396" s="170"/>
      <c r="C4396" s="222"/>
      <c r="D4396" s="48" t="s">
        <v>1759</v>
      </c>
      <c r="E4396" s="112">
        <f>+E4397</f>
        <v>3800000000</v>
      </c>
      <c r="F4396" s="242">
        <f>F4397</f>
        <v>3800000000</v>
      </c>
      <c r="G4396" s="379">
        <f t="shared" si="261"/>
        <v>100</v>
      </c>
      <c r="H4396" s="379">
        <f t="shared" si="262"/>
        <v>100</v>
      </c>
      <c r="I4396" s="111"/>
    </row>
    <row r="4397" spans="1:9" ht="16.5" hidden="1" customHeight="1" x14ac:dyDescent="0.25">
      <c r="A4397" s="170"/>
      <c r="B4397" s="170"/>
      <c r="C4397" s="222"/>
      <c r="D4397" s="119" t="s">
        <v>3210</v>
      </c>
      <c r="E4397" s="172">
        <v>3800000000</v>
      </c>
      <c r="F4397" s="243">
        <v>3800000000</v>
      </c>
      <c r="G4397" s="379">
        <f t="shared" si="261"/>
        <v>100</v>
      </c>
      <c r="H4397" s="379">
        <f t="shared" si="262"/>
        <v>100</v>
      </c>
      <c r="I4397" s="111"/>
    </row>
    <row r="4398" spans="1:9" ht="36" hidden="1" customHeight="1" x14ac:dyDescent="0.25">
      <c r="A4398" s="170"/>
      <c r="B4398" s="170"/>
      <c r="C4398" s="222"/>
      <c r="D4398" s="217" t="s">
        <v>3211</v>
      </c>
      <c r="E4398" s="112">
        <f>+E4399</f>
        <v>973000000</v>
      </c>
      <c r="F4398" s="242">
        <f>F4399</f>
        <v>973000000</v>
      </c>
      <c r="G4398" s="379">
        <f t="shared" si="261"/>
        <v>100</v>
      </c>
      <c r="H4398" s="379">
        <f t="shared" si="262"/>
        <v>100</v>
      </c>
      <c r="I4398" s="111"/>
    </row>
    <row r="4399" spans="1:9" ht="16.5" hidden="1" customHeight="1" x14ac:dyDescent="0.25">
      <c r="A4399" s="170"/>
      <c r="B4399" s="170"/>
      <c r="C4399" s="222"/>
      <c r="D4399" s="119" t="s">
        <v>261</v>
      </c>
      <c r="E4399" s="172">
        <v>973000000</v>
      </c>
      <c r="F4399" s="243">
        <v>973000000</v>
      </c>
      <c r="G4399" s="379">
        <f t="shared" si="261"/>
        <v>100</v>
      </c>
      <c r="H4399" s="379">
        <f t="shared" si="262"/>
        <v>100</v>
      </c>
      <c r="I4399" s="111"/>
    </row>
    <row r="4400" spans="1:9" ht="16.5" hidden="1" customHeight="1" x14ac:dyDescent="0.25">
      <c r="A4400" s="170"/>
      <c r="B4400" s="170"/>
      <c r="C4400" s="222"/>
      <c r="D4400" s="48" t="s">
        <v>3212</v>
      </c>
      <c r="E4400" s="112">
        <f>+E4401</f>
        <v>1001810000</v>
      </c>
      <c r="F4400" s="242">
        <f>F4401</f>
        <v>1001810000</v>
      </c>
      <c r="G4400" s="379">
        <f t="shared" si="261"/>
        <v>100</v>
      </c>
      <c r="H4400" s="379">
        <f t="shared" si="262"/>
        <v>100</v>
      </c>
      <c r="I4400" s="111"/>
    </row>
    <row r="4401" spans="1:9" ht="16.5" hidden="1" customHeight="1" x14ac:dyDescent="0.25">
      <c r="A4401" s="170"/>
      <c r="B4401" s="170"/>
      <c r="C4401" s="222"/>
      <c r="D4401" s="119" t="s">
        <v>3213</v>
      </c>
      <c r="E4401" s="172">
        <v>1001810000</v>
      </c>
      <c r="F4401" s="243">
        <v>1001810000</v>
      </c>
      <c r="G4401" s="379">
        <f t="shared" si="261"/>
        <v>100</v>
      </c>
      <c r="H4401" s="379">
        <f t="shared" si="262"/>
        <v>100</v>
      </c>
      <c r="I4401" s="111"/>
    </row>
    <row r="4402" spans="1:9" ht="16.5" hidden="1" customHeight="1" x14ac:dyDescent="0.25">
      <c r="A4402" s="170"/>
      <c r="B4402" s="170"/>
      <c r="C4402" s="222"/>
      <c r="D4402" s="217"/>
      <c r="E4402" s="112"/>
      <c r="F4402" s="243"/>
      <c r="G4402" s="379"/>
      <c r="H4402" s="379"/>
      <c r="I4402" s="111"/>
    </row>
    <row r="4403" spans="1:9" ht="16.5" hidden="1" customHeight="1" x14ac:dyDescent="0.25">
      <c r="A4403" s="170"/>
      <c r="B4403" s="170"/>
      <c r="C4403" s="222"/>
      <c r="D4403" s="48" t="s">
        <v>869</v>
      </c>
      <c r="E4403" s="112">
        <f>+E4404+E4406</f>
        <v>2100000000</v>
      </c>
      <c r="F4403" s="242">
        <f>F4404</f>
        <v>2100000000</v>
      </c>
      <c r="G4403" s="379">
        <f>F4403/E4403*100</f>
        <v>100</v>
      </c>
      <c r="H4403" s="379">
        <f>F4403/E4403*100</f>
        <v>100</v>
      </c>
      <c r="I4403" s="111"/>
    </row>
    <row r="4404" spans="1:9" ht="16.5" hidden="1" customHeight="1" x14ac:dyDescent="0.25">
      <c r="A4404" s="170"/>
      <c r="B4404" s="170"/>
      <c r="C4404" s="222"/>
      <c r="D4404" s="48" t="s">
        <v>3214</v>
      </c>
      <c r="E4404" s="112">
        <f>+E4405</f>
        <v>1400000000</v>
      </c>
      <c r="F4404" s="242">
        <f>F4405+F4406</f>
        <v>2100000000</v>
      </c>
      <c r="G4404" s="379">
        <f>F4404/E4404*100</f>
        <v>150</v>
      </c>
      <c r="H4404" s="379">
        <f>F4404/E4404*100</f>
        <v>150</v>
      </c>
      <c r="I4404" s="111"/>
    </row>
    <row r="4405" spans="1:9" ht="16.5" hidden="1" customHeight="1" x14ac:dyDescent="0.25">
      <c r="A4405" s="170"/>
      <c r="B4405" s="170"/>
      <c r="C4405" s="222"/>
      <c r="D4405" s="119" t="s">
        <v>3215</v>
      </c>
      <c r="E4405" s="172">
        <v>1400000000</v>
      </c>
      <c r="F4405" s="243">
        <v>1400000000</v>
      </c>
      <c r="G4405" s="379">
        <f>F4405/E4405*100</f>
        <v>100</v>
      </c>
      <c r="H4405" s="379">
        <f>F4405/E4405*100</f>
        <v>100</v>
      </c>
      <c r="I4405" s="111"/>
    </row>
    <row r="4406" spans="1:9" ht="16.5" hidden="1" customHeight="1" x14ac:dyDescent="0.25">
      <c r="A4406" s="170"/>
      <c r="B4406" s="170"/>
      <c r="C4406" s="222"/>
      <c r="D4406" s="48" t="s">
        <v>3214</v>
      </c>
      <c r="E4406" s="120">
        <f>+E4407</f>
        <v>700000000</v>
      </c>
      <c r="F4406" s="243">
        <v>700000000</v>
      </c>
      <c r="G4406" s="379">
        <f>F4406/E4406*100</f>
        <v>100</v>
      </c>
      <c r="H4406" s="379">
        <f>F4406/E4406*100</f>
        <v>100</v>
      </c>
      <c r="I4406" s="111"/>
    </row>
    <row r="4407" spans="1:9" ht="16.5" hidden="1" customHeight="1" x14ac:dyDescent="0.25">
      <c r="A4407" s="170"/>
      <c r="B4407" s="170"/>
      <c r="C4407" s="222"/>
      <c r="D4407" s="119" t="s">
        <v>3216</v>
      </c>
      <c r="E4407" s="172">
        <v>700000000</v>
      </c>
      <c r="F4407" s="243">
        <f>+F4406</f>
        <v>700000000</v>
      </c>
      <c r="G4407" s="379">
        <f>F4407/E4407*100</f>
        <v>100</v>
      </c>
      <c r="H4407" s="379">
        <f>F4407/E4407*100</f>
        <v>100</v>
      </c>
      <c r="I4407" s="111"/>
    </row>
    <row r="4408" spans="1:9" ht="16.5" hidden="1" customHeight="1" x14ac:dyDescent="0.25">
      <c r="A4408" s="170"/>
      <c r="B4408" s="170"/>
      <c r="C4408" s="222"/>
      <c r="D4408" s="119"/>
      <c r="E4408" s="172"/>
      <c r="F4408" s="242"/>
      <c r="G4408" s="379"/>
      <c r="H4408" s="379"/>
      <c r="I4408" s="111"/>
    </row>
    <row r="4409" spans="1:9" ht="16.5" hidden="1" customHeight="1" x14ac:dyDescent="0.25">
      <c r="A4409" s="170"/>
      <c r="B4409" s="170"/>
      <c r="C4409" s="222"/>
      <c r="D4409" s="48" t="s">
        <v>1265</v>
      </c>
      <c r="E4409" s="112">
        <f>+E4410</f>
        <v>1158822580</v>
      </c>
      <c r="F4409" s="242">
        <f>F4410</f>
        <v>1158822580</v>
      </c>
      <c r="G4409" s="379">
        <f>F4409/E4409*100</f>
        <v>100</v>
      </c>
      <c r="H4409" s="379">
        <f>F4409/E4409*100</f>
        <v>100</v>
      </c>
      <c r="I4409" s="111"/>
    </row>
    <row r="4410" spans="1:9" ht="16.5" hidden="1" customHeight="1" x14ac:dyDescent="0.25">
      <c r="A4410" s="170"/>
      <c r="B4410" s="170"/>
      <c r="C4410" s="222"/>
      <c r="D4410" s="48" t="s">
        <v>874</v>
      </c>
      <c r="E4410" s="112">
        <f>+E4411</f>
        <v>1158822580</v>
      </c>
      <c r="F4410" s="242">
        <f>F4411+F4412</f>
        <v>1158822580</v>
      </c>
      <c r="G4410" s="379">
        <f>F4410/E4410*100</f>
        <v>100</v>
      </c>
      <c r="H4410" s="379">
        <f>F4410/E4410*100</f>
        <v>100</v>
      </c>
      <c r="I4410" s="111"/>
    </row>
    <row r="4411" spans="1:9" ht="16.5" hidden="1" customHeight="1" x14ac:dyDescent="0.25">
      <c r="A4411" s="170"/>
      <c r="B4411" s="170"/>
      <c r="C4411" s="222"/>
      <c r="D4411" s="119" t="s">
        <v>3217</v>
      </c>
      <c r="E4411" s="172">
        <v>1158822580</v>
      </c>
      <c r="F4411" s="243">
        <v>1158822580</v>
      </c>
      <c r="G4411" s="379">
        <f>F4411/E4411*100</f>
        <v>100</v>
      </c>
      <c r="H4411" s="379">
        <f>F4411/E4411*100</f>
        <v>100</v>
      </c>
      <c r="I4411" s="111"/>
    </row>
    <row r="4412" spans="1:9" ht="16.5" hidden="1" customHeight="1" x14ac:dyDescent="0.25">
      <c r="A4412" s="170"/>
      <c r="B4412" s="170"/>
      <c r="C4412" s="222"/>
      <c r="D4412" s="119"/>
      <c r="E4412" s="172"/>
      <c r="F4412" s="108"/>
      <c r="G4412" s="235"/>
      <c r="H4412" s="235"/>
      <c r="I4412" s="111"/>
    </row>
    <row r="4413" spans="1:9" ht="16.5" hidden="1" customHeight="1" x14ac:dyDescent="0.25">
      <c r="A4413" s="170"/>
      <c r="B4413" s="170"/>
      <c r="C4413" s="222"/>
      <c r="D4413" s="48" t="s">
        <v>3218</v>
      </c>
      <c r="E4413" s="112">
        <v>2038300000</v>
      </c>
      <c r="F4413" s="242">
        <f>F4414</f>
        <v>2018550000</v>
      </c>
      <c r="G4413" s="379">
        <f>+F4413/E4413*100</f>
        <v>99.031055291174013</v>
      </c>
      <c r="H4413" s="379">
        <f>+G4413</f>
        <v>99.031055291174013</v>
      </c>
      <c r="I4413" s="111"/>
    </row>
    <row r="4414" spans="1:9" ht="16.5" hidden="1" customHeight="1" x14ac:dyDescent="0.25">
      <c r="A4414" s="170"/>
      <c r="B4414" s="170"/>
      <c r="C4414" s="222"/>
      <c r="D4414" s="48" t="s">
        <v>345</v>
      </c>
      <c r="E4414" s="112">
        <f>E4415+E4416</f>
        <v>2038300000</v>
      </c>
      <c r="F4414" s="242">
        <f>F4415+F4416</f>
        <v>2018550000</v>
      </c>
      <c r="G4414" s="379">
        <f>+F4414/E4414*100</f>
        <v>99.031055291174013</v>
      </c>
      <c r="H4414" s="379">
        <f>F4414/E4413*100</f>
        <v>99.031055291174013</v>
      </c>
      <c r="I4414" s="111"/>
    </row>
    <row r="4415" spans="1:9" ht="16.5" hidden="1" customHeight="1" x14ac:dyDescent="0.25">
      <c r="A4415" s="170"/>
      <c r="B4415" s="170"/>
      <c r="C4415" s="222"/>
      <c r="D4415" s="119" t="s">
        <v>3219</v>
      </c>
      <c r="E4415" s="172">
        <v>981550000</v>
      </c>
      <c r="F4415" s="243">
        <v>961800000</v>
      </c>
      <c r="G4415" s="379">
        <f>+F4415/E4415*100</f>
        <v>97.987876318068359</v>
      </c>
      <c r="H4415" s="379">
        <f>+G4415</f>
        <v>97.987876318068359</v>
      </c>
      <c r="I4415" s="111"/>
    </row>
    <row r="4416" spans="1:9" ht="16.5" hidden="1" customHeight="1" x14ac:dyDescent="0.25">
      <c r="A4416" s="170"/>
      <c r="B4416" s="170"/>
      <c r="C4416" s="222"/>
      <c r="D4416" s="119" t="s">
        <v>3220</v>
      </c>
      <c r="E4416" s="172">
        <v>1056750000</v>
      </c>
      <c r="F4416" s="243">
        <v>1056750000</v>
      </c>
      <c r="G4416" s="379">
        <f>+F4416/E4416*100</f>
        <v>100</v>
      </c>
      <c r="H4416" s="379">
        <f>+G4416</f>
        <v>100</v>
      </c>
      <c r="I4416" s="111"/>
    </row>
    <row r="4417" spans="1:9" ht="16.5" hidden="1" customHeight="1" x14ac:dyDescent="0.25">
      <c r="A4417" s="170"/>
      <c r="B4417" s="170"/>
      <c r="C4417" s="222"/>
      <c r="D4417" s="119"/>
      <c r="E4417" s="172"/>
      <c r="F4417" s="108"/>
      <c r="G4417" s="235"/>
      <c r="H4417" s="235"/>
      <c r="I4417" s="111"/>
    </row>
    <row r="4418" spans="1:9" ht="16.5" hidden="1" customHeight="1" x14ac:dyDescent="0.25">
      <c r="A4418" s="170"/>
      <c r="B4418" s="170"/>
      <c r="C4418" s="222"/>
      <c r="D4418" s="48" t="s">
        <v>3221</v>
      </c>
      <c r="E4418" s="112">
        <f>E4419+E4422+E4425+E4428</f>
        <v>10000000000</v>
      </c>
      <c r="F4418" s="242">
        <f>F4419+F4422+F4425+F4428</f>
        <v>10000000000</v>
      </c>
      <c r="G4418" s="379">
        <f t="shared" ref="G4418:G4431" si="263">+F4418/E4418*100</f>
        <v>100</v>
      </c>
      <c r="H4418" s="379">
        <f t="shared" ref="H4418:H4431" si="264">+G4418</f>
        <v>100</v>
      </c>
      <c r="I4418" s="111"/>
    </row>
    <row r="4419" spans="1:9" ht="16.5" hidden="1" customHeight="1" x14ac:dyDescent="0.25">
      <c r="A4419" s="170"/>
      <c r="B4419" s="170"/>
      <c r="C4419" s="222"/>
      <c r="D4419" s="48" t="s">
        <v>486</v>
      </c>
      <c r="E4419" s="112">
        <f>+E4420+E4421</f>
        <v>1100000000</v>
      </c>
      <c r="F4419" s="242">
        <f>F4420+F4421</f>
        <v>1100000000</v>
      </c>
      <c r="G4419" s="379">
        <f t="shared" si="263"/>
        <v>100</v>
      </c>
      <c r="H4419" s="379">
        <f t="shared" si="264"/>
        <v>100</v>
      </c>
      <c r="I4419" s="111"/>
    </row>
    <row r="4420" spans="1:9" ht="16.5" hidden="1" customHeight="1" x14ac:dyDescent="0.25">
      <c r="A4420" s="170"/>
      <c r="B4420" s="170"/>
      <c r="C4420" s="222"/>
      <c r="D4420" s="119" t="s">
        <v>3222</v>
      </c>
      <c r="E4420" s="172">
        <v>600000000</v>
      </c>
      <c r="F4420" s="243">
        <v>600000000</v>
      </c>
      <c r="G4420" s="379">
        <f t="shared" si="263"/>
        <v>100</v>
      </c>
      <c r="H4420" s="379">
        <f t="shared" si="264"/>
        <v>100</v>
      </c>
      <c r="I4420" s="111"/>
    </row>
    <row r="4421" spans="1:9" ht="16.5" hidden="1" customHeight="1" x14ac:dyDescent="0.25">
      <c r="A4421" s="170"/>
      <c r="B4421" s="170"/>
      <c r="C4421" s="222"/>
      <c r="D4421" s="119" t="s">
        <v>3223</v>
      </c>
      <c r="E4421" s="172">
        <v>500000000</v>
      </c>
      <c r="F4421" s="243">
        <v>500000000</v>
      </c>
      <c r="G4421" s="379">
        <f t="shared" si="263"/>
        <v>100</v>
      </c>
      <c r="H4421" s="379">
        <f t="shared" si="264"/>
        <v>100</v>
      </c>
      <c r="I4421" s="111"/>
    </row>
    <row r="4422" spans="1:9" ht="16.5" hidden="1" customHeight="1" x14ac:dyDescent="0.25">
      <c r="A4422" s="170"/>
      <c r="B4422" s="170"/>
      <c r="C4422" s="222"/>
      <c r="D4422" s="48" t="s">
        <v>750</v>
      </c>
      <c r="E4422" s="112">
        <f>+E4423+E4424</f>
        <v>1900000000</v>
      </c>
      <c r="F4422" s="242">
        <f>F4423+F4424</f>
        <v>1900000000</v>
      </c>
      <c r="G4422" s="379">
        <f t="shared" si="263"/>
        <v>100</v>
      </c>
      <c r="H4422" s="379">
        <f t="shared" si="264"/>
        <v>100</v>
      </c>
      <c r="I4422" s="111"/>
    </row>
    <row r="4423" spans="1:9" ht="36" hidden="1" customHeight="1" x14ac:dyDescent="0.25">
      <c r="A4423" s="170"/>
      <c r="B4423" s="170"/>
      <c r="C4423" s="222"/>
      <c r="D4423" s="119" t="s">
        <v>3224</v>
      </c>
      <c r="E4423" s="172">
        <v>500000000</v>
      </c>
      <c r="F4423" s="243">
        <v>500000000</v>
      </c>
      <c r="G4423" s="379">
        <f t="shared" si="263"/>
        <v>100</v>
      </c>
      <c r="H4423" s="379">
        <f t="shared" si="264"/>
        <v>100</v>
      </c>
      <c r="I4423" s="111"/>
    </row>
    <row r="4424" spans="1:9" ht="16.5" hidden="1" customHeight="1" x14ac:dyDescent="0.25">
      <c r="A4424" s="170"/>
      <c r="B4424" s="170"/>
      <c r="C4424" s="222"/>
      <c r="D4424" s="119" t="s">
        <v>3225</v>
      </c>
      <c r="E4424" s="172">
        <v>1400000000</v>
      </c>
      <c r="F4424" s="243">
        <v>1400000000</v>
      </c>
      <c r="G4424" s="379">
        <f t="shared" si="263"/>
        <v>100</v>
      </c>
      <c r="H4424" s="379">
        <f t="shared" si="264"/>
        <v>100</v>
      </c>
      <c r="I4424" s="111"/>
    </row>
    <row r="4425" spans="1:9" ht="16.5" hidden="1" customHeight="1" x14ac:dyDescent="0.25">
      <c r="A4425" s="170"/>
      <c r="B4425" s="170"/>
      <c r="C4425" s="222"/>
      <c r="D4425" s="48" t="s">
        <v>3226</v>
      </c>
      <c r="E4425" s="112">
        <f>+E4426+E4427</f>
        <v>3400000000</v>
      </c>
      <c r="F4425" s="242">
        <f>F4426+F4427</f>
        <v>3400000000</v>
      </c>
      <c r="G4425" s="379">
        <f t="shared" si="263"/>
        <v>100</v>
      </c>
      <c r="H4425" s="379">
        <f t="shared" si="264"/>
        <v>100</v>
      </c>
      <c r="I4425" s="111"/>
    </row>
    <row r="4426" spans="1:9" ht="16.5" hidden="1" customHeight="1" x14ac:dyDescent="0.25">
      <c r="A4426" s="170"/>
      <c r="B4426" s="170"/>
      <c r="C4426" s="222"/>
      <c r="D4426" s="119" t="s">
        <v>497</v>
      </c>
      <c r="E4426" s="172">
        <v>2700000000</v>
      </c>
      <c r="F4426" s="243">
        <v>2700000000</v>
      </c>
      <c r="G4426" s="379">
        <f t="shared" si="263"/>
        <v>100</v>
      </c>
      <c r="H4426" s="379">
        <f t="shared" si="264"/>
        <v>100</v>
      </c>
      <c r="I4426" s="111"/>
    </row>
    <row r="4427" spans="1:9" ht="16.5" hidden="1" customHeight="1" x14ac:dyDescent="0.25">
      <c r="A4427" s="170"/>
      <c r="B4427" s="170"/>
      <c r="C4427" s="222"/>
      <c r="D4427" s="119" t="s">
        <v>1059</v>
      </c>
      <c r="E4427" s="172">
        <v>700000000</v>
      </c>
      <c r="F4427" s="243">
        <v>700000000</v>
      </c>
      <c r="G4427" s="379">
        <f t="shared" si="263"/>
        <v>100</v>
      </c>
      <c r="H4427" s="379">
        <f t="shared" si="264"/>
        <v>100</v>
      </c>
      <c r="I4427" s="111"/>
    </row>
    <row r="4428" spans="1:9" ht="16.5" hidden="1" customHeight="1" x14ac:dyDescent="0.25">
      <c r="A4428" s="170"/>
      <c r="B4428" s="170"/>
      <c r="C4428" s="222"/>
      <c r="D4428" s="48" t="s">
        <v>3227</v>
      </c>
      <c r="E4428" s="112">
        <f>+E4429+E4430+E4431</f>
        <v>3600000000</v>
      </c>
      <c r="F4428" s="242">
        <f>F4429+F4430+F4431</f>
        <v>3600000000</v>
      </c>
      <c r="G4428" s="379">
        <f t="shared" si="263"/>
        <v>100</v>
      </c>
      <c r="H4428" s="379">
        <f t="shared" si="264"/>
        <v>100</v>
      </c>
      <c r="I4428" s="111"/>
    </row>
    <row r="4429" spans="1:9" ht="16.5" hidden="1" customHeight="1" x14ac:dyDescent="0.25">
      <c r="A4429" s="170"/>
      <c r="B4429" s="170"/>
      <c r="C4429" s="222"/>
      <c r="D4429" s="119" t="s">
        <v>3228</v>
      </c>
      <c r="E4429" s="172">
        <v>1200000000</v>
      </c>
      <c r="F4429" s="243">
        <v>1200000000</v>
      </c>
      <c r="G4429" s="379">
        <f t="shared" si="263"/>
        <v>100</v>
      </c>
      <c r="H4429" s="379">
        <f t="shared" si="264"/>
        <v>100</v>
      </c>
      <c r="I4429" s="111"/>
    </row>
    <row r="4430" spans="1:9" ht="16.5" hidden="1" customHeight="1" x14ac:dyDescent="0.25">
      <c r="A4430" s="170"/>
      <c r="B4430" s="170"/>
      <c r="C4430" s="222"/>
      <c r="D4430" s="119" t="s">
        <v>1070</v>
      </c>
      <c r="E4430" s="172">
        <v>1400000000</v>
      </c>
      <c r="F4430" s="243">
        <v>1400000000</v>
      </c>
      <c r="G4430" s="379">
        <f t="shared" si="263"/>
        <v>100</v>
      </c>
      <c r="H4430" s="379">
        <f t="shared" si="264"/>
        <v>100</v>
      </c>
      <c r="I4430" s="111"/>
    </row>
    <row r="4431" spans="1:9" ht="16.5" hidden="1" customHeight="1" x14ac:dyDescent="0.25">
      <c r="A4431" s="170"/>
      <c r="B4431" s="170"/>
      <c r="C4431" s="222"/>
      <c r="D4431" s="119" t="s">
        <v>3229</v>
      </c>
      <c r="E4431" s="172">
        <v>1000000000</v>
      </c>
      <c r="F4431" s="243">
        <v>1000000000</v>
      </c>
      <c r="G4431" s="379">
        <f t="shared" si="263"/>
        <v>100</v>
      </c>
      <c r="H4431" s="379">
        <f t="shared" si="264"/>
        <v>100</v>
      </c>
      <c r="I4431" s="111"/>
    </row>
    <row r="4432" spans="1:9" ht="16.5" hidden="1" customHeight="1" x14ac:dyDescent="0.25">
      <c r="A4432" s="170"/>
      <c r="B4432" s="170"/>
      <c r="C4432" s="222"/>
      <c r="D4432" s="119"/>
      <c r="E4432" s="172"/>
      <c r="F4432" s="108"/>
      <c r="G4432" s="235"/>
      <c r="H4432" s="235"/>
      <c r="I4432" s="111"/>
    </row>
    <row r="4433" spans="1:9" ht="16.5" hidden="1" customHeight="1" x14ac:dyDescent="0.25">
      <c r="A4433" s="170"/>
      <c r="B4433" s="170"/>
      <c r="C4433" s="222"/>
      <c r="D4433" s="48" t="s">
        <v>765</v>
      </c>
      <c r="E4433" s="112">
        <f>+E4434+E4438</f>
        <v>5000000000</v>
      </c>
      <c r="F4433" s="242">
        <f>F4434+F4438</f>
        <v>5000000000</v>
      </c>
      <c r="G4433" s="379">
        <f t="shared" ref="G4433:G4439" si="265">+F4433/E4433*100</f>
        <v>100</v>
      </c>
      <c r="H4433" s="379">
        <f t="shared" ref="H4433:H4439" si="266">+G4433</f>
        <v>100</v>
      </c>
      <c r="I4433" s="111"/>
    </row>
    <row r="4434" spans="1:9" ht="16.5" hidden="1" customHeight="1" x14ac:dyDescent="0.25">
      <c r="A4434" s="170"/>
      <c r="B4434" s="170"/>
      <c r="C4434" s="222"/>
      <c r="D4434" s="48" t="s">
        <v>3230</v>
      </c>
      <c r="E4434" s="112">
        <f>+E4435+E4436+E4437</f>
        <v>1850000000</v>
      </c>
      <c r="F4434" s="242">
        <f>F4435+F4436+F4437</f>
        <v>1850000000</v>
      </c>
      <c r="G4434" s="379">
        <f t="shared" si="265"/>
        <v>100</v>
      </c>
      <c r="H4434" s="379">
        <f t="shared" si="266"/>
        <v>100</v>
      </c>
      <c r="I4434" s="111"/>
    </row>
    <row r="4435" spans="1:9" ht="16.5" hidden="1" customHeight="1" x14ac:dyDescent="0.25">
      <c r="A4435" s="170"/>
      <c r="B4435" s="170"/>
      <c r="C4435" s="222"/>
      <c r="D4435" s="119" t="s">
        <v>419</v>
      </c>
      <c r="E4435" s="172">
        <v>1050000000</v>
      </c>
      <c r="F4435" s="243">
        <v>1050000000</v>
      </c>
      <c r="G4435" s="379">
        <f t="shared" si="265"/>
        <v>100</v>
      </c>
      <c r="H4435" s="379">
        <f t="shared" si="266"/>
        <v>100</v>
      </c>
      <c r="I4435" s="111"/>
    </row>
    <row r="4436" spans="1:9" ht="16.5" hidden="1" customHeight="1" x14ac:dyDescent="0.25">
      <c r="A4436" s="170"/>
      <c r="B4436" s="170"/>
      <c r="C4436" s="222"/>
      <c r="D4436" s="119" t="s">
        <v>3231</v>
      </c>
      <c r="E4436" s="172">
        <v>350000000</v>
      </c>
      <c r="F4436" s="243">
        <v>350000000</v>
      </c>
      <c r="G4436" s="379">
        <f t="shared" si="265"/>
        <v>100</v>
      </c>
      <c r="H4436" s="379">
        <f t="shared" si="266"/>
        <v>100</v>
      </c>
      <c r="I4436" s="111"/>
    </row>
    <row r="4437" spans="1:9" ht="16.5" hidden="1" customHeight="1" x14ac:dyDescent="0.25">
      <c r="A4437" s="170"/>
      <c r="B4437" s="170"/>
      <c r="C4437" s="222"/>
      <c r="D4437" s="119" t="s">
        <v>3232</v>
      </c>
      <c r="E4437" s="172">
        <v>450000000</v>
      </c>
      <c r="F4437" s="243">
        <v>450000000</v>
      </c>
      <c r="G4437" s="379">
        <f t="shared" si="265"/>
        <v>100</v>
      </c>
      <c r="H4437" s="379">
        <f t="shared" si="266"/>
        <v>100</v>
      </c>
      <c r="I4437" s="111"/>
    </row>
    <row r="4438" spans="1:9" ht="16.5" hidden="1" customHeight="1" x14ac:dyDescent="0.25">
      <c r="A4438" s="170"/>
      <c r="B4438" s="170"/>
      <c r="C4438" s="222"/>
      <c r="D4438" s="48" t="s">
        <v>3233</v>
      </c>
      <c r="E4438" s="112">
        <f>+E4439</f>
        <v>3150000000</v>
      </c>
      <c r="F4438" s="242">
        <f>F4439</f>
        <v>3150000000</v>
      </c>
      <c r="G4438" s="379">
        <f t="shared" si="265"/>
        <v>100</v>
      </c>
      <c r="H4438" s="379">
        <f t="shared" si="266"/>
        <v>100</v>
      </c>
      <c r="I4438" s="111"/>
    </row>
    <row r="4439" spans="1:9" ht="18" hidden="1" customHeight="1" x14ac:dyDescent="0.25">
      <c r="A4439" s="170"/>
      <c r="B4439" s="170"/>
      <c r="C4439" s="222"/>
      <c r="D4439" s="119" t="s">
        <v>3234</v>
      </c>
      <c r="E4439" s="172">
        <v>3150000000</v>
      </c>
      <c r="F4439" s="243">
        <v>3150000000</v>
      </c>
      <c r="G4439" s="379">
        <f t="shared" si="265"/>
        <v>100</v>
      </c>
      <c r="H4439" s="379">
        <f t="shared" si="266"/>
        <v>100</v>
      </c>
      <c r="I4439" s="111"/>
    </row>
    <row r="4440" spans="1:9" ht="16.5" hidden="1" customHeight="1" x14ac:dyDescent="0.25">
      <c r="A4440" s="170"/>
      <c r="B4440" s="170"/>
      <c r="C4440" s="222"/>
      <c r="D4440" s="119"/>
      <c r="E4440" s="172"/>
      <c r="F4440" s="108"/>
      <c r="G4440" s="235"/>
      <c r="H4440" s="235"/>
      <c r="I4440" s="111"/>
    </row>
    <row r="4441" spans="1:9" ht="16.5" hidden="1" customHeight="1" x14ac:dyDescent="0.25">
      <c r="A4441" s="170"/>
      <c r="B4441" s="170"/>
      <c r="C4441" s="222"/>
      <c r="D4441" s="48" t="s">
        <v>3235</v>
      </c>
      <c r="E4441" s="112">
        <f>+E4442+E4445</f>
        <v>6845972250</v>
      </c>
      <c r="F4441" s="242">
        <f>F4442+F4445</f>
        <v>6845972250</v>
      </c>
      <c r="G4441" s="379">
        <f t="shared" ref="G4441:G4447" si="267">+F4441/E4441*100</f>
        <v>100</v>
      </c>
      <c r="H4441" s="379">
        <f t="shared" ref="H4441:H4447" si="268">+G4441</f>
        <v>100</v>
      </c>
      <c r="I4441" s="111"/>
    </row>
    <row r="4442" spans="1:9" ht="16.5" hidden="1" customHeight="1" x14ac:dyDescent="0.25">
      <c r="A4442" s="170"/>
      <c r="B4442" s="170"/>
      <c r="C4442" s="222"/>
      <c r="D4442" s="48" t="s">
        <v>364</v>
      </c>
      <c r="E4442" s="112">
        <f>+E4443+E4444</f>
        <v>2800000000</v>
      </c>
      <c r="F4442" s="242">
        <f>F4443+F4444</f>
        <v>2800000000</v>
      </c>
      <c r="G4442" s="379">
        <f t="shared" si="267"/>
        <v>100</v>
      </c>
      <c r="H4442" s="379">
        <f t="shared" si="268"/>
        <v>100</v>
      </c>
      <c r="I4442" s="111"/>
    </row>
    <row r="4443" spans="1:9" ht="16.5" hidden="1" customHeight="1" x14ac:dyDescent="0.25">
      <c r="A4443" s="170"/>
      <c r="B4443" s="170"/>
      <c r="C4443" s="222"/>
      <c r="D4443" s="119" t="s">
        <v>1099</v>
      </c>
      <c r="E4443" s="172">
        <v>900000000</v>
      </c>
      <c r="F4443" s="243">
        <v>900000000</v>
      </c>
      <c r="G4443" s="379">
        <f t="shared" si="267"/>
        <v>100</v>
      </c>
      <c r="H4443" s="379">
        <f t="shared" si="268"/>
        <v>100</v>
      </c>
      <c r="I4443" s="111"/>
    </row>
    <row r="4444" spans="1:9" ht="16.5" hidden="1" customHeight="1" x14ac:dyDescent="0.25">
      <c r="A4444" s="170"/>
      <c r="B4444" s="170"/>
      <c r="C4444" s="222"/>
      <c r="D4444" s="119" t="s">
        <v>1101</v>
      </c>
      <c r="E4444" s="172">
        <v>1900000000</v>
      </c>
      <c r="F4444" s="243">
        <v>1900000000</v>
      </c>
      <c r="G4444" s="379">
        <f t="shared" si="267"/>
        <v>100</v>
      </c>
      <c r="H4444" s="379">
        <f t="shared" si="268"/>
        <v>100</v>
      </c>
      <c r="I4444" s="111"/>
    </row>
    <row r="4445" spans="1:9" ht="16.5" hidden="1" customHeight="1" x14ac:dyDescent="0.25">
      <c r="A4445" s="170"/>
      <c r="B4445" s="170"/>
      <c r="C4445" s="222"/>
      <c r="D4445" s="48" t="s">
        <v>899</v>
      </c>
      <c r="E4445" s="112">
        <f>+E4446+E4447</f>
        <v>4045972250</v>
      </c>
      <c r="F4445" s="242">
        <f>F4446+F4447</f>
        <v>4045972250</v>
      </c>
      <c r="G4445" s="379">
        <f t="shared" si="267"/>
        <v>100</v>
      </c>
      <c r="H4445" s="379">
        <f t="shared" si="268"/>
        <v>100</v>
      </c>
      <c r="I4445" s="111"/>
    </row>
    <row r="4446" spans="1:9" ht="16.5" hidden="1" customHeight="1" x14ac:dyDescent="0.25">
      <c r="A4446" s="170"/>
      <c r="B4446" s="170"/>
      <c r="C4446" s="222"/>
      <c r="D4446" s="119" t="s">
        <v>1105</v>
      </c>
      <c r="E4446" s="172">
        <v>3145972250</v>
      </c>
      <c r="F4446" s="243">
        <v>3145972250</v>
      </c>
      <c r="G4446" s="379">
        <f t="shared" si="267"/>
        <v>100</v>
      </c>
      <c r="H4446" s="379">
        <f t="shared" si="268"/>
        <v>100</v>
      </c>
      <c r="I4446" s="111"/>
    </row>
    <row r="4447" spans="1:9" ht="16.5" hidden="1" customHeight="1" x14ac:dyDescent="0.25">
      <c r="A4447" s="170"/>
      <c r="B4447" s="170"/>
      <c r="C4447" s="222"/>
      <c r="D4447" s="119" t="s">
        <v>1093</v>
      </c>
      <c r="E4447" s="172">
        <v>900000000</v>
      </c>
      <c r="F4447" s="243">
        <v>900000000</v>
      </c>
      <c r="G4447" s="379">
        <f t="shared" si="267"/>
        <v>100</v>
      </c>
      <c r="H4447" s="379">
        <f t="shared" si="268"/>
        <v>100</v>
      </c>
      <c r="I4447" s="111"/>
    </row>
    <row r="4448" spans="1:9" ht="16.5" hidden="1" customHeight="1" x14ac:dyDescent="0.25">
      <c r="A4448" s="170"/>
      <c r="B4448" s="170"/>
      <c r="C4448" s="222"/>
      <c r="D4448" s="217"/>
      <c r="E4448" s="112"/>
      <c r="F4448" s="108"/>
      <c r="G4448" s="235"/>
      <c r="H4448" s="235"/>
      <c r="I4448" s="111"/>
    </row>
    <row r="4449" spans="1:9" ht="16.5" hidden="1" customHeight="1" x14ac:dyDescent="0.25">
      <c r="A4449" s="170"/>
      <c r="B4449" s="170"/>
      <c r="C4449" s="222"/>
      <c r="D4449" s="48" t="s">
        <v>3236</v>
      </c>
      <c r="E4449" s="112">
        <f>+E4450</f>
        <v>2131822580</v>
      </c>
      <c r="F4449" s="242">
        <f>F4450</f>
        <v>2131822580</v>
      </c>
      <c r="G4449" s="379">
        <f>+F4449/E4449*100</f>
        <v>100</v>
      </c>
      <c r="H4449" s="379">
        <f>+G4449</f>
        <v>100</v>
      </c>
      <c r="I4449" s="111"/>
    </row>
    <row r="4450" spans="1:9" ht="16.5" hidden="1" customHeight="1" x14ac:dyDescent="0.25">
      <c r="A4450" s="170"/>
      <c r="B4450" s="170"/>
      <c r="C4450" s="222"/>
      <c r="D4450" s="48" t="s">
        <v>954</v>
      </c>
      <c r="E4450" s="112">
        <f>+E4451+E4452</f>
        <v>2131822580</v>
      </c>
      <c r="F4450" s="242">
        <f>F4451+F4452</f>
        <v>2131822580</v>
      </c>
      <c r="G4450" s="379">
        <f>+F4450/E4450*100</f>
        <v>100</v>
      </c>
      <c r="H4450" s="379">
        <f>+G4450</f>
        <v>100</v>
      </c>
      <c r="I4450" s="111"/>
    </row>
    <row r="4451" spans="1:9" ht="16.5" hidden="1" customHeight="1" x14ac:dyDescent="0.25">
      <c r="A4451" s="170"/>
      <c r="B4451" s="170"/>
      <c r="C4451" s="222"/>
      <c r="D4451" s="119" t="s">
        <v>3237</v>
      </c>
      <c r="E4451" s="172">
        <v>810359990</v>
      </c>
      <c r="F4451" s="243">
        <v>810359990</v>
      </c>
      <c r="G4451" s="379">
        <f>+F4451/E4451*100</f>
        <v>100</v>
      </c>
      <c r="H4451" s="379">
        <f>+G4451</f>
        <v>100</v>
      </c>
      <c r="I4451" s="111"/>
    </row>
    <row r="4452" spans="1:9" ht="16.5" hidden="1" customHeight="1" x14ac:dyDescent="0.25">
      <c r="A4452" s="170"/>
      <c r="B4452" s="170"/>
      <c r="C4452" s="222"/>
      <c r="D4452" s="119" t="s">
        <v>3238</v>
      </c>
      <c r="E4452" s="172">
        <v>1321462590</v>
      </c>
      <c r="F4452" s="243">
        <v>1321462590</v>
      </c>
      <c r="G4452" s="379">
        <f>+F4452/E4452*100</f>
        <v>100</v>
      </c>
      <c r="H4452" s="379">
        <f>+G4452</f>
        <v>100</v>
      </c>
      <c r="I4452" s="111"/>
    </row>
    <row r="4453" spans="1:9" ht="16.5" hidden="1" customHeight="1" x14ac:dyDescent="0.25">
      <c r="A4453" s="170"/>
      <c r="B4453" s="170"/>
      <c r="C4453" s="222"/>
      <c r="D4453" s="119"/>
      <c r="E4453" s="172"/>
      <c r="F4453" s="108"/>
      <c r="G4453" s="235"/>
      <c r="H4453" s="235"/>
      <c r="I4453" s="111"/>
    </row>
    <row r="4454" spans="1:9" ht="16.5" hidden="1" customHeight="1" x14ac:dyDescent="0.25">
      <c r="A4454" s="170"/>
      <c r="B4454" s="170"/>
      <c r="C4454" s="222"/>
      <c r="D4454" s="48" t="s">
        <v>964</v>
      </c>
      <c r="E4454" s="112">
        <f>+E4455</f>
        <v>4357167740</v>
      </c>
      <c r="F4454" s="242">
        <f>F4455</f>
        <v>4357138440</v>
      </c>
      <c r="G4454" s="379">
        <f>+F4454/E4454*100</f>
        <v>99.999327544823885</v>
      </c>
      <c r="H4454" s="379">
        <f>+G4454</f>
        <v>99.999327544823885</v>
      </c>
      <c r="I4454" s="111"/>
    </row>
    <row r="4455" spans="1:9" ht="16.5" hidden="1" customHeight="1" x14ac:dyDescent="0.25">
      <c r="A4455" s="170"/>
      <c r="B4455" s="170"/>
      <c r="C4455" s="222"/>
      <c r="D4455" s="48" t="s">
        <v>1043</v>
      </c>
      <c r="E4455" s="112">
        <f>+E4456</f>
        <v>4357167740</v>
      </c>
      <c r="F4455" s="242">
        <f>F4456</f>
        <v>4357138440</v>
      </c>
      <c r="G4455" s="379">
        <f>+F4455/E4455*100</f>
        <v>99.999327544823885</v>
      </c>
      <c r="H4455" s="379">
        <f>+G4455</f>
        <v>99.999327544823885</v>
      </c>
      <c r="I4455" s="111"/>
    </row>
    <row r="4456" spans="1:9" s="115" customFormat="1" ht="16.5" hidden="1" customHeight="1" x14ac:dyDescent="0.25">
      <c r="A4456" s="171"/>
      <c r="B4456" s="171"/>
      <c r="C4456" s="222"/>
      <c r="D4456" s="217" t="s">
        <v>1831</v>
      </c>
      <c r="E4456" s="112">
        <f>+E4457+E4458</f>
        <v>4357167740</v>
      </c>
      <c r="F4456" s="243">
        <f>F4457+F4458</f>
        <v>4357138440</v>
      </c>
      <c r="G4456" s="379">
        <f>+F4456/E4456*100</f>
        <v>99.999327544823885</v>
      </c>
      <c r="H4456" s="379">
        <f>+G4456</f>
        <v>99.999327544823885</v>
      </c>
      <c r="I4456" s="121"/>
    </row>
    <row r="4457" spans="1:9" ht="16.5" hidden="1" customHeight="1" x14ac:dyDescent="0.25">
      <c r="A4457" s="170"/>
      <c r="B4457" s="170"/>
      <c r="C4457" s="222"/>
      <c r="D4457" s="119" t="s">
        <v>3239</v>
      </c>
      <c r="E4457" s="172">
        <f>3461790000</f>
        <v>3461790000</v>
      </c>
      <c r="F4457" s="243">
        <v>3461790000</v>
      </c>
      <c r="G4457" s="379">
        <f>+F4457/E4457*100</f>
        <v>100</v>
      </c>
      <c r="H4457" s="379">
        <f>+G4457</f>
        <v>100</v>
      </c>
      <c r="I4457" s="111"/>
    </row>
    <row r="4458" spans="1:9" ht="16.5" hidden="1" customHeight="1" x14ac:dyDescent="0.25">
      <c r="A4458" s="170"/>
      <c r="B4458" s="170"/>
      <c r="C4458" s="222"/>
      <c r="D4458" s="119" t="s">
        <v>3240</v>
      </c>
      <c r="E4458" s="172">
        <v>895377740</v>
      </c>
      <c r="F4458" s="243">
        <v>895348440</v>
      </c>
      <c r="G4458" s="379">
        <f>+F4458/E4458*100</f>
        <v>99.996727638102783</v>
      </c>
      <c r="H4458" s="379">
        <f>+G4458</f>
        <v>99.996727638102783</v>
      </c>
      <c r="I4458" s="111"/>
    </row>
    <row r="4459" spans="1:9" ht="16.5" hidden="1" customHeight="1" x14ac:dyDescent="0.25">
      <c r="A4459" s="170"/>
      <c r="B4459" s="170"/>
      <c r="C4459" s="222"/>
      <c r="D4459" s="48"/>
      <c r="E4459" s="107"/>
      <c r="F4459" s="108"/>
      <c r="G4459" s="117"/>
      <c r="H4459" s="117"/>
      <c r="I4459" s="111"/>
    </row>
    <row r="4460" spans="1:9" ht="16.5" customHeight="1" x14ac:dyDescent="0.25">
      <c r="A4460" s="170"/>
      <c r="B4460" s="170"/>
      <c r="C4460" s="222" t="s">
        <v>3241</v>
      </c>
      <c r="D4460" s="217" t="s">
        <v>3242</v>
      </c>
      <c r="E4460" s="125">
        <f>+E4461+E4483+E4499+E4504+E4508+E4512+E4520+E4525+E4529+E4534+E4538+E4544</f>
        <v>126725154000</v>
      </c>
      <c r="F4460" s="113">
        <f>+F4461+F4483+F4499+F4504+F4508+F4512+F4520+F4525+F4529+F4534+F4538+F4544</f>
        <v>117711849520</v>
      </c>
      <c r="G4460" s="114">
        <f>+F4460/E4460*100</f>
        <v>92.887517437935017</v>
      </c>
      <c r="H4460" s="331">
        <f>(H4461+H4483+H4499+H4504+H4508+H4512+H4520+H4525+H4529+H4534+H4538+H4544)/12</f>
        <v>99.53125</v>
      </c>
      <c r="I4460" s="111"/>
    </row>
    <row r="4461" spans="1:9" ht="16.5" hidden="1" customHeight="1" x14ac:dyDescent="0.25">
      <c r="A4461" s="170"/>
      <c r="B4461" s="170"/>
      <c r="C4461" s="222"/>
      <c r="D4461" s="540" t="s">
        <v>82</v>
      </c>
      <c r="E4461" s="541">
        <f>E4462+E4472+E4474+E4479</f>
        <v>36817550000</v>
      </c>
      <c r="F4461" s="242">
        <f>F4462+F4472+F4474+F4479</f>
        <v>34480114050</v>
      </c>
      <c r="G4461" s="333">
        <f t="shared" ref="G4461:G4481" si="269">F4461/E4461%</f>
        <v>93.6512995840299</v>
      </c>
      <c r="H4461" s="333">
        <f>(H4462+H4472+H4474+H4479)/4</f>
        <v>99.375</v>
      </c>
      <c r="I4461" s="111"/>
    </row>
    <row r="4462" spans="1:9" s="115" customFormat="1" ht="16.5" hidden="1" customHeight="1" x14ac:dyDescent="0.25">
      <c r="A4462" s="171"/>
      <c r="B4462" s="171"/>
      <c r="C4462" s="222"/>
      <c r="D4462" s="540" t="s">
        <v>680</v>
      </c>
      <c r="E4462" s="541">
        <f>SUM(E4463:E4471)</f>
        <v>19754400000</v>
      </c>
      <c r="F4462" s="242">
        <f>SUM(F4463:F4471)</f>
        <v>19222674050</v>
      </c>
      <c r="G4462" s="333">
        <f t="shared" si="269"/>
        <v>97.308316375086051</v>
      </c>
      <c r="H4462" s="333">
        <v>100</v>
      </c>
      <c r="I4462" s="121"/>
    </row>
    <row r="4463" spans="1:9" ht="16.5" hidden="1" customHeight="1" x14ac:dyDescent="0.25">
      <c r="A4463" s="170"/>
      <c r="B4463" s="170"/>
      <c r="C4463" s="222"/>
      <c r="D4463" s="542" t="s">
        <v>3243</v>
      </c>
      <c r="E4463" s="543">
        <v>1712000000</v>
      </c>
      <c r="F4463" s="243">
        <v>1707500000</v>
      </c>
      <c r="G4463" s="379">
        <f t="shared" si="269"/>
        <v>99.737149532710276</v>
      </c>
      <c r="H4463" s="379">
        <v>100</v>
      </c>
      <c r="I4463" s="111"/>
    </row>
    <row r="4464" spans="1:9" ht="16.5" hidden="1" customHeight="1" x14ac:dyDescent="0.25">
      <c r="A4464" s="170"/>
      <c r="B4464" s="170"/>
      <c r="C4464" s="222"/>
      <c r="D4464" s="542" t="s">
        <v>3244</v>
      </c>
      <c r="E4464" s="543">
        <v>1047000000</v>
      </c>
      <c r="F4464" s="243">
        <v>1029000000</v>
      </c>
      <c r="G4464" s="379">
        <f t="shared" si="269"/>
        <v>98.280802292263616</v>
      </c>
      <c r="H4464" s="379">
        <v>100</v>
      </c>
      <c r="I4464" s="111"/>
    </row>
    <row r="4465" spans="1:9" ht="16.5" hidden="1" customHeight="1" x14ac:dyDescent="0.25">
      <c r="A4465" s="170"/>
      <c r="B4465" s="170"/>
      <c r="C4465" s="222"/>
      <c r="D4465" s="542" t="s">
        <v>3245</v>
      </c>
      <c r="E4465" s="543">
        <v>12794200000</v>
      </c>
      <c r="F4465" s="243">
        <v>12305954050</v>
      </c>
      <c r="G4465" s="379">
        <f t="shared" si="269"/>
        <v>96.183849322349189</v>
      </c>
      <c r="H4465" s="379">
        <v>100</v>
      </c>
      <c r="I4465" s="111"/>
    </row>
    <row r="4466" spans="1:9" ht="16.5" hidden="1" customHeight="1" x14ac:dyDescent="0.25">
      <c r="A4466" s="170"/>
      <c r="B4466" s="170"/>
      <c r="C4466" s="222"/>
      <c r="D4466" s="542" t="s">
        <v>3246</v>
      </c>
      <c r="E4466" s="543">
        <v>254200000</v>
      </c>
      <c r="F4466" s="243">
        <v>253000000</v>
      </c>
      <c r="G4466" s="379">
        <f t="shared" si="269"/>
        <v>99.527930763178603</v>
      </c>
      <c r="H4466" s="379">
        <v>100</v>
      </c>
      <c r="I4466" s="111"/>
    </row>
    <row r="4467" spans="1:9" ht="16.5" hidden="1" customHeight="1" x14ac:dyDescent="0.25">
      <c r="A4467" s="170"/>
      <c r="B4467" s="170"/>
      <c r="C4467" s="222"/>
      <c r="D4467" s="542" t="s">
        <v>3247</v>
      </c>
      <c r="E4467" s="543">
        <v>1100000000</v>
      </c>
      <c r="F4467" s="243">
        <v>1092420000</v>
      </c>
      <c r="G4467" s="379">
        <f t="shared" si="269"/>
        <v>99.310909090909092</v>
      </c>
      <c r="H4467" s="379">
        <v>100</v>
      </c>
      <c r="I4467" s="111"/>
    </row>
    <row r="4468" spans="1:9" ht="16.5" hidden="1" customHeight="1" x14ac:dyDescent="0.25">
      <c r="A4468" s="170"/>
      <c r="B4468" s="170"/>
      <c r="C4468" s="222"/>
      <c r="D4468" s="542" t="s">
        <v>3248</v>
      </c>
      <c r="E4468" s="543">
        <v>1284000000</v>
      </c>
      <c r="F4468" s="243">
        <v>1278350000</v>
      </c>
      <c r="G4468" s="379">
        <f t="shared" si="269"/>
        <v>99.559968847352025</v>
      </c>
      <c r="H4468" s="379">
        <v>100</v>
      </c>
      <c r="I4468" s="111"/>
    </row>
    <row r="4469" spans="1:9" ht="16.5" hidden="1" customHeight="1" x14ac:dyDescent="0.25">
      <c r="A4469" s="170"/>
      <c r="B4469" s="170"/>
      <c r="C4469" s="222"/>
      <c r="D4469" s="542" t="s">
        <v>3249</v>
      </c>
      <c r="E4469" s="543">
        <v>600000000</v>
      </c>
      <c r="F4469" s="243">
        <v>598150000</v>
      </c>
      <c r="G4469" s="379">
        <f t="shared" si="269"/>
        <v>99.691666666666663</v>
      </c>
      <c r="H4469" s="379">
        <v>100</v>
      </c>
      <c r="I4469" s="111"/>
    </row>
    <row r="4470" spans="1:9" ht="16.5" hidden="1" customHeight="1" x14ac:dyDescent="0.25">
      <c r="A4470" s="170"/>
      <c r="B4470" s="170"/>
      <c r="C4470" s="222"/>
      <c r="D4470" s="542" t="s">
        <v>3250</v>
      </c>
      <c r="E4470" s="543">
        <v>214000000</v>
      </c>
      <c r="F4470" s="243">
        <v>211500000</v>
      </c>
      <c r="G4470" s="379">
        <f t="shared" si="269"/>
        <v>98.831775700934585</v>
      </c>
      <c r="H4470" s="379">
        <v>100</v>
      </c>
      <c r="I4470" s="111"/>
    </row>
    <row r="4471" spans="1:9" ht="16.5" hidden="1" customHeight="1" x14ac:dyDescent="0.25">
      <c r="A4471" s="170"/>
      <c r="B4471" s="170"/>
      <c r="C4471" s="222"/>
      <c r="D4471" s="542" t="s">
        <v>3251</v>
      </c>
      <c r="E4471" s="543">
        <v>749000000</v>
      </c>
      <c r="F4471" s="243">
        <v>746800000</v>
      </c>
      <c r="G4471" s="379">
        <f t="shared" si="269"/>
        <v>99.706275033377835</v>
      </c>
      <c r="H4471" s="379">
        <v>100</v>
      </c>
      <c r="I4471" s="111"/>
    </row>
    <row r="4472" spans="1:9" s="115" customFormat="1" ht="16.5" hidden="1" customHeight="1" x14ac:dyDescent="0.25">
      <c r="A4472" s="171"/>
      <c r="B4472" s="171"/>
      <c r="C4472" s="222"/>
      <c r="D4472" s="540" t="s">
        <v>693</v>
      </c>
      <c r="E4472" s="541">
        <f>SUM(E4473:E4473)</f>
        <v>636600000</v>
      </c>
      <c r="F4472" s="242">
        <f>SUM(F4473:F4473)</f>
        <v>636600000</v>
      </c>
      <c r="G4472" s="333">
        <f t="shared" si="269"/>
        <v>100</v>
      </c>
      <c r="H4472" s="333">
        <v>100</v>
      </c>
      <c r="I4472" s="121"/>
    </row>
    <row r="4473" spans="1:9" ht="16.5" hidden="1" customHeight="1" x14ac:dyDescent="0.25">
      <c r="A4473" s="170"/>
      <c r="B4473" s="170"/>
      <c r="C4473" s="222"/>
      <c r="D4473" s="542" t="s">
        <v>3252</v>
      </c>
      <c r="E4473" s="543">
        <v>636600000</v>
      </c>
      <c r="F4473" s="243">
        <v>636600000</v>
      </c>
      <c r="G4473" s="379">
        <f t="shared" si="269"/>
        <v>100</v>
      </c>
      <c r="H4473" s="379">
        <v>100</v>
      </c>
      <c r="I4473" s="111"/>
    </row>
    <row r="4474" spans="1:9" s="115" customFormat="1" ht="16.5" hidden="1" customHeight="1" x14ac:dyDescent="0.25">
      <c r="A4474" s="171"/>
      <c r="B4474" s="171"/>
      <c r="C4474" s="222"/>
      <c r="D4474" s="540" t="s">
        <v>100</v>
      </c>
      <c r="E4474" s="541">
        <f>SUM(E4475:E4478)</f>
        <v>15901550000</v>
      </c>
      <c r="F4474" s="242">
        <f>SUM(F4475:F4478)</f>
        <v>14125700000</v>
      </c>
      <c r="G4474" s="333">
        <f t="shared" si="269"/>
        <v>88.832220758353742</v>
      </c>
      <c r="H4474" s="333">
        <f>SUM(H4475:H4478)/4</f>
        <v>97.5</v>
      </c>
      <c r="I4474" s="121"/>
    </row>
    <row r="4475" spans="1:9" ht="16.5" hidden="1" customHeight="1" x14ac:dyDescent="0.25">
      <c r="A4475" s="170"/>
      <c r="B4475" s="170"/>
      <c r="C4475" s="222"/>
      <c r="D4475" s="542" t="s">
        <v>3253</v>
      </c>
      <c r="E4475" s="543">
        <v>15000000000</v>
      </c>
      <c r="F4475" s="243">
        <v>13266650000</v>
      </c>
      <c r="G4475" s="379">
        <f t="shared" si="269"/>
        <v>88.444333333333333</v>
      </c>
      <c r="H4475" s="379">
        <v>90</v>
      </c>
      <c r="I4475" s="111"/>
    </row>
    <row r="4476" spans="1:9" ht="16.5" hidden="1" customHeight="1" x14ac:dyDescent="0.25">
      <c r="A4476" s="170"/>
      <c r="B4476" s="170"/>
      <c r="C4476" s="222"/>
      <c r="D4476" s="542" t="s">
        <v>3254</v>
      </c>
      <c r="E4476" s="543">
        <v>270000000</v>
      </c>
      <c r="F4476" s="243">
        <v>232500000</v>
      </c>
      <c r="G4476" s="379">
        <f t="shared" si="269"/>
        <v>86.111111111111114</v>
      </c>
      <c r="H4476" s="379">
        <v>100</v>
      </c>
      <c r="I4476" s="111"/>
    </row>
    <row r="4477" spans="1:9" ht="16.5" hidden="1" customHeight="1" x14ac:dyDescent="0.25">
      <c r="A4477" s="170"/>
      <c r="B4477" s="170"/>
      <c r="C4477" s="222"/>
      <c r="D4477" s="542" t="s">
        <v>3255</v>
      </c>
      <c r="E4477" s="543">
        <v>245000000</v>
      </c>
      <c r="F4477" s="243">
        <v>245000000</v>
      </c>
      <c r="G4477" s="379">
        <f t="shared" si="269"/>
        <v>100</v>
      </c>
      <c r="H4477" s="379">
        <v>100</v>
      </c>
      <c r="I4477" s="111"/>
    </row>
    <row r="4478" spans="1:9" ht="16.5" hidden="1" customHeight="1" x14ac:dyDescent="0.25">
      <c r="A4478" s="170"/>
      <c r="B4478" s="170"/>
      <c r="C4478" s="222"/>
      <c r="D4478" s="542" t="s">
        <v>3256</v>
      </c>
      <c r="E4478" s="543">
        <v>386550000</v>
      </c>
      <c r="F4478" s="243">
        <v>381550000</v>
      </c>
      <c r="G4478" s="379">
        <f t="shared" si="269"/>
        <v>98.706506273444575</v>
      </c>
      <c r="H4478" s="379">
        <v>100</v>
      </c>
      <c r="I4478" s="111"/>
    </row>
    <row r="4479" spans="1:9" s="115" customFormat="1" ht="16.5" hidden="1" customHeight="1" x14ac:dyDescent="0.25">
      <c r="A4479" s="171"/>
      <c r="B4479" s="171"/>
      <c r="C4479" s="222"/>
      <c r="D4479" s="540" t="s">
        <v>100</v>
      </c>
      <c r="E4479" s="541">
        <f>SUM(E4480:E4481)</f>
        <v>525000000</v>
      </c>
      <c r="F4479" s="242">
        <f>SUM(F4480:F4481)</f>
        <v>495140000</v>
      </c>
      <c r="G4479" s="333">
        <f t="shared" si="269"/>
        <v>94.312380952380948</v>
      </c>
      <c r="H4479" s="333">
        <v>100</v>
      </c>
      <c r="I4479" s="121"/>
    </row>
    <row r="4480" spans="1:9" ht="16.5" hidden="1" customHeight="1" x14ac:dyDescent="0.25">
      <c r="A4480" s="170"/>
      <c r="B4480" s="170"/>
      <c r="C4480" s="222"/>
      <c r="D4480" s="542" t="s">
        <v>3257</v>
      </c>
      <c r="E4480" s="543">
        <v>280000000</v>
      </c>
      <c r="F4480" s="243">
        <v>255140000</v>
      </c>
      <c r="G4480" s="379">
        <f t="shared" si="269"/>
        <v>91.121428571428567</v>
      </c>
      <c r="H4480" s="379">
        <v>100</v>
      </c>
      <c r="I4480" s="111"/>
    </row>
    <row r="4481" spans="1:9" ht="16.5" hidden="1" customHeight="1" x14ac:dyDescent="0.25">
      <c r="A4481" s="170"/>
      <c r="B4481" s="170"/>
      <c r="C4481" s="222"/>
      <c r="D4481" s="542" t="s">
        <v>3258</v>
      </c>
      <c r="E4481" s="543">
        <v>245000000</v>
      </c>
      <c r="F4481" s="243">
        <v>240000000</v>
      </c>
      <c r="G4481" s="379">
        <f t="shared" si="269"/>
        <v>97.959183673469383</v>
      </c>
      <c r="H4481" s="379">
        <v>100</v>
      </c>
      <c r="I4481" s="111"/>
    </row>
    <row r="4482" spans="1:9" ht="16.5" hidden="1" customHeight="1" x14ac:dyDescent="0.25">
      <c r="A4482" s="170"/>
      <c r="B4482" s="170"/>
      <c r="C4482" s="222"/>
      <c r="D4482" s="542"/>
      <c r="E4482" s="543"/>
      <c r="F4482" s="243"/>
      <c r="G4482" s="379"/>
      <c r="H4482" s="379"/>
      <c r="I4482" s="111"/>
    </row>
    <row r="4483" spans="1:9" ht="16.5" hidden="1" customHeight="1" x14ac:dyDescent="0.25">
      <c r="A4483" s="170"/>
      <c r="B4483" s="170"/>
      <c r="C4483" s="222"/>
      <c r="D4483" s="540" t="s">
        <v>150</v>
      </c>
      <c r="E4483" s="541">
        <f>E4484+E4487+E4489+E4491+E4494+E4496</f>
        <v>12358773100</v>
      </c>
      <c r="F4483" s="242">
        <f>F4484+F4487+F4489+F4491+F4494+F4496</f>
        <v>11793555470</v>
      </c>
      <c r="G4483" s="379">
        <f t="shared" ref="G4483:G4497" si="270">F4483/E4483%</f>
        <v>95.426587854420603</v>
      </c>
      <c r="H4483" s="379">
        <v>100</v>
      </c>
      <c r="I4483" s="111"/>
    </row>
    <row r="4484" spans="1:9" s="115" customFormat="1" ht="16.5" hidden="1" customHeight="1" x14ac:dyDescent="0.25">
      <c r="A4484" s="171"/>
      <c r="B4484" s="171"/>
      <c r="C4484" s="222"/>
      <c r="D4484" s="540" t="s">
        <v>156</v>
      </c>
      <c r="E4484" s="541">
        <f>SUM(E4485:E4486)</f>
        <v>1276000000</v>
      </c>
      <c r="F4484" s="242">
        <f>SUM(F4485:F4486)</f>
        <v>1186715470</v>
      </c>
      <c r="G4484" s="333">
        <f t="shared" si="270"/>
        <v>93.002779780564268</v>
      </c>
      <c r="H4484" s="333">
        <v>100</v>
      </c>
      <c r="I4484" s="121"/>
    </row>
    <row r="4485" spans="1:9" ht="16.5" hidden="1" customHeight="1" x14ac:dyDescent="0.25">
      <c r="A4485" s="170"/>
      <c r="B4485" s="170"/>
      <c r="C4485" s="222"/>
      <c r="D4485" s="542" t="s">
        <v>3259</v>
      </c>
      <c r="E4485" s="543">
        <v>1000000000</v>
      </c>
      <c r="F4485" s="243">
        <v>980715470</v>
      </c>
      <c r="G4485" s="379">
        <f t="shared" si="270"/>
        <v>98.071546999999995</v>
      </c>
      <c r="H4485" s="379">
        <v>100</v>
      </c>
      <c r="I4485" s="111"/>
    </row>
    <row r="4486" spans="1:9" ht="16.5" hidden="1" customHeight="1" x14ac:dyDescent="0.25">
      <c r="A4486" s="170"/>
      <c r="B4486" s="170"/>
      <c r="C4486" s="222"/>
      <c r="D4486" s="542" t="s">
        <v>3260</v>
      </c>
      <c r="E4486" s="543">
        <v>276000000</v>
      </c>
      <c r="F4486" s="243">
        <v>206000000</v>
      </c>
      <c r="G4486" s="379">
        <f t="shared" si="270"/>
        <v>74.637681159420296</v>
      </c>
      <c r="H4486" s="379">
        <v>100</v>
      </c>
      <c r="I4486" s="111"/>
    </row>
    <row r="4487" spans="1:9" s="115" customFormat="1" ht="16.5" hidden="1" customHeight="1" x14ac:dyDescent="0.25">
      <c r="A4487" s="171"/>
      <c r="B4487" s="171"/>
      <c r="C4487" s="222"/>
      <c r="D4487" s="540" t="s">
        <v>166</v>
      </c>
      <c r="E4487" s="541">
        <f>SUM(E4488:E4488)</f>
        <v>360000000</v>
      </c>
      <c r="F4487" s="242">
        <f>SUM(F4488:F4488)</f>
        <v>90000000</v>
      </c>
      <c r="G4487" s="333">
        <f t="shared" si="270"/>
        <v>25</v>
      </c>
      <c r="H4487" s="333">
        <v>100</v>
      </c>
      <c r="I4487" s="121"/>
    </row>
    <row r="4488" spans="1:9" ht="16.5" hidden="1" customHeight="1" x14ac:dyDescent="0.25">
      <c r="A4488" s="170"/>
      <c r="B4488" s="170"/>
      <c r="C4488" s="222"/>
      <c r="D4488" s="542" t="s">
        <v>3261</v>
      </c>
      <c r="E4488" s="543">
        <v>360000000</v>
      </c>
      <c r="F4488" s="243">
        <v>90000000</v>
      </c>
      <c r="G4488" s="379">
        <f t="shared" si="270"/>
        <v>25</v>
      </c>
      <c r="H4488" s="379">
        <v>100</v>
      </c>
      <c r="I4488" s="111"/>
    </row>
    <row r="4489" spans="1:9" s="115" customFormat="1" ht="16.5" hidden="1" customHeight="1" x14ac:dyDescent="0.25">
      <c r="A4489" s="171"/>
      <c r="B4489" s="171"/>
      <c r="C4489" s="222"/>
      <c r="D4489" s="540" t="s">
        <v>3262</v>
      </c>
      <c r="E4489" s="541">
        <f>E4490</f>
        <v>4541003100</v>
      </c>
      <c r="F4489" s="242">
        <f>F4490</f>
        <v>4406000000</v>
      </c>
      <c r="G4489" s="333">
        <f t="shared" si="270"/>
        <v>97.027020307473478</v>
      </c>
      <c r="H4489" s="333">
        <v>100</v>
      </c>
      <c r="I4489" s="121"/>
    </row>
    <row r="4490" spans="1:9" ht="16.5" hidden="1" customHeight="1" x14ac:dyDescent="0.25">
      <c r="A4490" s="170"/>
      <c r="B4490" s="170"/>
      <c r="C4490" s="222"/>
      <c r="D4490" s="542" t="s">
        <v>3263</v>
      </c>
      <c r="E4490" s="543">
        <v>4541003100</v>
      </c>
      <c r="F4490" s="243">
        <v>4406000000</v>
      </c>
      <c r="G4490" s="379">
        <f t="shared" si="270"/>
        <v>97.027020307473478</v>
      </c>
      <c r="H4490" s="379">
        <v>100</v>
      </c>
      <c r="I4490" s="111"/>
    </row>
    <row r="4491" spans="1:9" s="115" customFormat="1" ht="16.5" hidden="1" customHeight="1" x14ac:dyDescent="0.25">
      <c r="A4491" s="171"/>
      <c r="B4491" s="171"/>
      <c r="C4491" s="222"/>
      <c r="D4491" s="540" t="s">
        <v>3264</v>
      </c>
      <c r="E4491" s="541">
        <f>SUM(E4492:E4493)</f>
        <v>1051840000</v>
      </c>
      <c r="F4491" s="242">
        <f>SUM(F4492:F4493)</f>
        <v>1051840000</v>
      </c>
      <c r="G4491" s="333">
        <f t="shared" si="270"/>
        <v>100</v>
      </c>
      <c r="H4491" s="333">
        <v>100</v>
      </c>
      <c r="I4491" s="121"/>
    </row>
    <row r="4492" spans="1:9" ht="16.5" hidden="1" customHeight="1" x14ac:dyDescent="0.25">
      <c r="A4492" s="170"/>
      <c r="B4492" s="170"/>
      <c r="C4492" s="222"/>
      <c r="D4492" s="542" t="s">
        <v>3265</v>
      </c>
      <c r="E4492" s="543">
        <v>690440000</v>
      </c>
      <c r="F4492" s="243">
        <v>690440000</v>
      </c>
      <c r="G4492" s="379">
        <f t="shared" si="270"/>
        <v>100</v>
      </c>
      <c r="H4492" s="379">
        <v>100</v>
      </c>
      <c r="I4492" s="111"/>
    </row>
    <row r="4493" spans="1:9" ht="16.5" hidden="1" customHeight="1" x14ac:dyDescent="0.25">
      <c r="A4493" s="170"/>
      <c r="B4493" s="170"/>
      <c r="C4493" s="222"/>
      <c r="D4493" s="542" t="s">
        <v>3266</v>
      </c>
      <c r="E4493" s="543">
        <v>361400000</v>
      </c>
      <c r="F4493" s="243">
        <v>361400000</v>
      </c>
      <c r="G4493" s="379">
        <f t="shared" si="270"/>
        <v>100</v>
      </c>
      <c r="H4493" s="379">
        <v>100</v>
      </c>
      <c r="I4493" s="111"/>
    </row>
    <row r="4494" spans="1:9" s="115" customFormat="1" ht="26.25" hidden="1" customHeight="1" x14ac:dyDescent="0.25">
      <c r="A4494" s="171"/>
      <c r="B4494" s="171"/>
      <c r="C4494" s="222"/>
      <c r="D4494" s="540" t="s">
        <v>3267</v>
      </c>
      <c r="E4494" s="541">
        <f>E4495</f>
        <v>1335930000</v>
      </c>
      <c r="F4494" s="242">
        <f>F4495</f>
        <v>1315000000</v>
      </c>
      <c r="G4494" s="333">
        <f t="shared" si="270"/>
        <v>98.433301146018124</v>
      </c>
      <c r="H4494" s="333">
        <v>100</v>
      </c>
      <c r="I4494" s="121"/>
    </row>
    <row r="4495" spans="1:9" ht="16.5" hidden="1" customHeight="1" x14ac:dyDescent="0.25">
      <c r="A4495" s="170"/>
      <c r="B4495" s="170"/>
      <c r="C4495" s="222"/>
      <c r="D4495" s="542" t="s">
        <v>3268</v>
      </c>
      <c r="E4495" s="543">
        <v>1335930000</v>
      </c>
      <c r="F4495" s="243">
        <v>1315000000</v>
      </c>
      <c r="G4495" s="379">
        <f t="shared" si="270"/>
        <v>98.433301146018124</v>
      </c>
      <c r="H4495" s="379">
        <v>100</v>
      </c>
      <c r="I4495" s="111"/>
    </row>
    <row r="4496" spans="1:9" s="115" customFormat="1" ht="16.5" hidden="1" customHeight="1" x14ac:dyDescent="0.25">
      <c r="A4496" s="171"/>
      <c r="B4496" s="171"/>
      <c r="C4496" s="222"/>
      <c r="D4496" s="540" t="s">
        <v>202</v>
      </c>
      <c r="E4496" s="541">
        <f>E4497</f>
        <v>3794000000</v>
      </c>
      <c r="F4496" s="242">
        <f>F4497</f>
        <v>3744000000</v>
      </c>
      <c r="G4496" s="333">
        <f t="shared" si="270"/>
        <v>98.682129678439637</v>
      </c>
      <c r="H4496" s="333">
        <v>100</v>
      </c>
      <c r="I4496" s="121"/>
    </row>
    <row r="4497" spans="1:9" ht="25.5" hidden="1" customHeight="1" x14ac:dyDescent="0.25">
      <c r="A4497" s="170"/>
      <c r="B4497" s="170"/>
      <c r="C4497" s="222"/>
      <c r="D4497" s="542" t="s">
        <v>3269</v>
      </c>
      <c r="E4497" s="543">
        <v>3794000000</v>
      </c>
      <c r="F4497" s="243">
        <v>3744000000</v>
      </c>
      <c r="G4497" s="379">
        <f t="shared" si="270"/>
        <v>98.682129678439637</v>
      </c>
      <c r="H4497" s="379">
        <v>100</v>
      </c>
      <c r="I4497" s="111"/>
    </row>
    <row r="4498" spans="1:9" ht="17.25" hidden="1" customHeight="1" x14ac:dyDescent="0.25">
      <c r="A4498" s="170"/>
      <c r="B4498" s="170"/>
      <c r="C4498" s="222"/>
      <c r="D4498" s="542"/>
      <c r="E4498" s="543"/>
      <c r="F4498" s="243"/>
      <c r="G4498" s="379"/>
      <c r="H4498" s="379"/>
      <c r="I4498" s="111"/>
    </row>
    <row r="4499" spans="1:9" ht="16.5" hidden="1" customHeight="1" x14ac:dyDescent="0.25">
      <c r="A4499" s="170"/>
      <c r="B4499" s="170"/>
      <c r="C4499" s="222"/>
      <c r="D4499" s="540" t="s">
        <v>854</v>
      </c>
      <c r="E4499" s="541">
        <f>E4500</f>
        <v>15335030800</v>
      </c>
      <c r="F4499" s="242">
        <f>F4500</f>
        <v>15243660000</v>
      </c>
      <c r="G4499" s="333">
        <f>F4499/E4499%</f>
        <v>99.404169439294506</v>
      </c>
      <c r="H4499" s="333">
        <v>100</v>
      </c>
      <c r="I4499" s="111"/>
    </row>
    <row r="4500" spans="1:9" s="115" customFormat="1" ht="16.5" hidden="1" customHeight="1" x14ac:dyDescent="0.25">
      <c r="A4500" s="171"/>
      <c r="B4500" s="171"/>
      <c r="C4500" s="222"/>
      <c r="D4500" s="540" t="s">
        <v>3270</v>
      </c>
      <c r="E4500" s="541">
        <f>E4501+E4502</f>
        <v>15335030800</v>
      </c>
      <c r="F4500" s="242">
        <f>F4501+F4502</f>
        <v>15243660000</v>
      </c>
      <c r="G4500" s="333">
        <f>F4500/E4500%</f>
        <v>99.404169439294506</v>
      </c>
      <c r="H4500" s="333">
        <v>100</v>
      </c>
      <c r="I4500" s="121"/>
    </row>
    <row r="4501" spans="1:9" ht="16.5" hidden="1" customHeight="1" x14ac:dyDescent="0.25">
      <c r="A4501" s="170"/>
      <c r="B4501" s="170"/>
      <c r="C4501" s="222"/>
      <c r="D4501" s="542" t="s">
        <v>3271</v>
      </c>
      <c r="E4501" s="543">
        <v>7500000000</v>
      </c>
      <c r="F4501" s="243">
        <v>7455490000</v>
      </c>
      <c r="G4501" s="379">
        <f>F4501/E4501%</f>
        <v>99.406533333333329</v>
      </c>
      <c r="H4501" s="379">
        <v>100</v>
      </c>
      <c r="I4501" s="111"/>
    </row>
    <row r="4502" spans="1:9" ht="16.5" hidden="1" customHeight="1" x14ac:dyDescent="0.25">
      <c r="A4502" s="170"/>
      <c r="B4502" s="170"/>
      <c r="C4502" s="222"/>
      <c r="D4502" s="542" t="s">
        <v>3272</v>
      </c>
      <c r="E4502" s="543">
        <v>7835030800</v>
      </c>
      <c r="F4502" s="243">
        <v>7788170000</v>
      </c>
      <c r="G4502" s="379">
        <f>F4502/E4502%</f>
        <v>99.401906626838027</v>
      </c>
      <c r="H4502" s="379">
        <v>100</v>
      </c>
      <c r="I4502" s="111"/>
    </row>
    <row r="4503" spans="1:9" ht="16.5" hidden="1" customHeight="1" x14ac:dyDescent="0.25">
      <c r="A4503" s="170"/>
      <c r="B4503" s="170"/>
      <c r="C4503" s="222"/>
      <c r="D4503" s="542"/>
      <c r="E4503" s="543"/>
      <c r="F4503" s="243"/>
      <c r="G4503" s="379"/>
      <c r="H4503" s="379"/>
      <c r="I4503" s="111"/>
    </row>
    <row r="4504" spans="1:9" ht="16.5" hidden="1" customHeight="1" x14ac:dyDescent="0.25">
      <c r="A4504" s="170"/>
      <c r="B4504" s="170"/>
      <c r="C4504" s="222"/>
      <c r="D4504" s="540" t="s">
        <v>630</v>
      </c>
      <c r="E4504" s="541">
        <f>SUM(E4506:E4506)</f>
        <v>1503800100</v>
      </c>
      <c r="F4504" s="242">
        <f>SUM(F4506:F4506)</f>
        <v>1503800000</v>
      </c>
      <c r="G4504" s="379">
        <f>F4504/E4504%</f>
        <v>99.999993350179992</v>
      </c>
      <c r="H4504" s="379">
        <v>100</v>
      </c>
      <c r="I4504" s="111"/>
    </row>
    <row r="4505" spans="1:9" s="115" customFormat="1" ht="16.5" hidden="1" customHeight="1" x14ac:dyDescent="0.25">
      <c r="A4505" s="171"/>
      <c r="B4505" s="171"/>
      <c r="C4505" s="222"/>
      <c r="D4505" s="540" t="s">
        <v>954</v>
      </c>
      <c r="E4505" s="541">
        <f>SUM(E4506:E4506)</f>
        <v>1503800100</v>
      </c>
      <c r="F4505" s="242">
        <f>SUM(F4506:F4506)</f>
        <v>1503800000</v>
      </c>
      <c r="G4505" s="333">
        <f>F4505/E4505%</f>
        <v>99.999993350179992</v>
      </c>
      <c r="H4505" s="333">
        <v>100</v>
      </c>
      <c r="I4505" s="121"/>
    </row>
    <row r="4506" spans="1:9" ht="27" hidden="1" customHeight="1" x14ac:dyDescent="0.25">
      <c r="A4506" s="170"/>
      <c r="B4506" s="170"/>
      <c r="C4506" s="222"/>
      <c r="D4506" s="542" t="s">
        <v>3273</v>
      </c>
      <c r="E4506" s="543">
        <v>1503800100</v>
      </c>
      <c r="F4506" s="243">
        <v>1503800000</v>
      </c>
      <c r="G4506" s="379">
        <f>F4506/E4506%</f>
        <v>99.999993350179992</v>
      </c>
      <c r="H4506" s="379">
        <v>100</v>
      </c>
      <c r="I4506" s="111"/>
    </row>
    <row r="4507" spans="1:9" ht="16.5" hidden="1" customHeight="1" x14ac:dyDescent="0.25">
      <c r="A4507" s="170"/>
      <c r="B4507" s="170"/>
      <c r="C4507" s="222"/>
      <c r="D4507" s="542"/>
      <c r="E4507" s="543"/>
      <c r="F4507" s="243"/>
      <c r="G4507" s="333"/>
      <c r="H4507" s="333"/>
      <c r="I4507" s="111"/>
    </row>
    <row r="4508" spans="1:9" ht="16.5" hidden="1" customHeight="1" x14ac:dyDescent="0.25">
      <c r="A4508" s="170"/>
      <c r="B4508" s="170"/>
      <c r="C4508" s="222"/>
      <c r="D4508" s="540" t="s">
        <v>873</v>
      </c>
      <c r="E4508" s="541">
        <f>E4509</f>
        <v>1000000000</v>
      </c>
      <c r="F4508" s="242">
        <f>F4509</f>
        <v>1000000000</v>
      </c>
      <c r="G4508" s="379">
        <f>F4508/E4508%</f>
        <v>100</v>
      </c>
      <c r="H4508" s="379">
        <v>100</v>
      </c>
      <c r="I4508" s="111"/>
    </row>
    <row r="4509" spans="1:9" s="115" customFormat="1" ht="16.5" hidden="1" customHeight="1" x14ac:dyDescent="0.25">
      <c r="A4509" s="171"/>
      <c r="B4509" s="171"/>
      <c r="C4509" s="222"/>
      <c r="D4509" s="540" t="s">
        <v>874</v>
      </c>
      <c r="E4509" s="541">
        <f>E4510</f>
        <v>1000000000</v>
      </c>
      <c r="F4509" s="242">
        <f>F4510</f>
        <v>1000000000</v>
      </c>
      <c r="G4509" s="333">
        <f>F4509/E4509%</f>
        <v>100</v>
      </c>
      <c r="H4509" s="333">
        <v>100</v>
      </c>
      <c r="I4509" s="121"/>
    </row>
    <row r="4510" spans="1:9" s="115" customFormat="1" ht="16.5" hidden="1" customHeight="1" x14ac:dyDescent="0.25">
      <c r="A4510" s="171"/>
      <c r="B4510" s="171"/>
      <c r="C4510" s="222"/>
      <c r="D4510" s="542" t="s">
        <v>3274</v>
      </c>
      <c r="E4510" s="543">
        <v>1000000000</v>
      </c>
      <c r="F4510" s="243">
        <v>1000000000</v>
      </c>
      <c r="G4510" s="379"/>
      <c r="H4510" s="379"/>
      <c r="I4510" s="121"/>
    </row>
    <row r="4511" spans="1:9" ht="16.5" hidden="1" customHeight="1" x14ac:dyDescent="0.25">
      <c r="A4511" s="170"/>
      <c r="B4511" s="170"/>
      <c r="C4511" s="222"/>
      <c r="D4511" s="542"/>
      <c r="E4511" s="543"/>
      <c r="F4511" s="243"/>
      <c r="G4511" s="333"/>
      <c r="H4511" s="333"/>
      <c r="I4511" s="111"/>
    </row>
    <row r="4512" spans="1:9" ht="16.5" hidden="1" customHeight="1" x14ac:dyDescent="0.25">
      <c r="A4512" s="170"/>
      <c r="B4512" s="170"/>
      <c r="C4512" s="222"/>
      <c r="D4512" s="540" t="s">
        <v>3275</v>
      </c>
      <c r="E4512" s="541">
        <f>E4513+E4515+E4517</f>
        <v>2550000000</v>
      </c>
      <c r="F4512" s="242">
        <f>F4513+F4515+F4517</f>
        <v>2546770000</v>
      </c>
      <c r="G4512" s="379">
        <f t="shared" ref="G4512:G4518" si="271">F4512/E4512%</f>
        <v>99.873333333333335</v>
      </c>
      <c r="H4512" s="379">
        <v>100</v>
      </c>
      <c r="I4512" s="111"/>
    </row>
    <row r="4513" spans="1:9" s="115" customFormat="1" ht="16.5" hidden="1" customHeight="1" x14ac:dyDescent="0.25">
      <c r="A4513" s="171"/>
      <c r="B4513" s="171"/>
      <c r="C4513" s="222"/>
      <c r="D4513" s="540" t="s">
        <v>874</v>
      </c>
      <c r="E4513" s="541">
        <f>E4514</f>
        <v>1500000000</v>
      </c>
      <c r="F4513" s="242">
        <f>F4514</f>
        <v>1496770000</v>
      </c>
      <c r="G4513" s="333">
        <f t="shared" si="271"/>
        <v>99.784666666666666</v>
      </c>
      <c r="H4513" s="333">
        <v>100</v>
      </c>
      <c r="I4513" s="121"/>
    </row>
    <row r="4514" spans="1:9" ht="16.5" hidden="1" customHeight="1" x14ac:dyDescent="0.25">
      <c r="A4514" s="170"/>
      <c r="B4514" s="170"/>
      <c r="C4514" s="222"/>
      <c r="D4514" s="542" t="s">
        <v>3276</v>
      </c>
      <c r="E4514" s="543">
        <v>1500000000</v>
      </c>
      <c r="F4514" s="243">
        <v>1496770000</v>
      </c>
      <c r="G4514" s="379">
        <f t="shared" si="271"/>
        <v>99.784666666666666</v>
      </c>
      <c r="H4514" s="379">
        <v>100</v>
      </c>
      <c r="I4514" s="111"/>
    </row>
    <row r="4515" spans="1:9" s="115" customFormat="1" ht="25.5" hidden="1" customHeight="1" x14ac:dyDescent="0.25">
      <c r="A4515" s="171"/>
      <c r="B4515" s="171"/>
      <c r="C4515" s="222"/>
      <c r="D4515" s="540" t="s">
        <v>2038</v>
      </c>
      <c r="E4515" s="541">
        <f>E4516</f>
        <v>525000000</v>
      </c>
      <c r="F4515" s="242">
        <f>F4516</f>
        <v>525000000</v>
      </c>
      <c r="G4515" s="333">
        <f t="shared" si="271"/>
        <v>100</v>
      </c>
      <c r="H4515" s="333">
        <v>100</v>
      </c>
      <c r="I4515" s="121"/>
    </row>
    <row r="4516" spans="1:9" ht="25.5" hidden="1" customHeight="1" x14ac:dyDescent="0.25">
      <c r="A4516" s="170"/>
      <c r="B4516" s="170"/>
      <c r="C4516" s="222"/>
      <c r="D4516" s="542" t="s">
        <v>3277</v>
      </c>
      <c r="E4516" s="544">
        <v>525000000</v>
      </c>
      <c r="F4516" s="243">
        <v>525000000</v>
      </c>
      <c r="G4516" s="379">
        <f t="shared" si="271"/>
        <v>100</v>
      </c>
      <c r="H4516" s="379">
        <v>100</v>
      </c>
      <c r="I4516" s="111"/>
    </row>
    <row r="4517" spans="1:9" s="115" customFormat="1" ht="16.5" hidden="1" customHeight="1" x14ac:dyDescent="0.25">
      <c r="A4517" s="171"/>
      <c r="B4517" s="171"/>
      <c r="C4517" s="222"/>
      <c r="D4517" s="540" t="s">
        <v>3278</v>
      </c>
      <c r="E4517" s="541">
        <f>E4518</f>
        <v>525000000</v>
      </c>
      <c r="F4517" s="242">
        <f>F4518</f>
        <v>525000000</v>
      </c>
      <c r="G4517" s="333">
        <f t="shared" si="271"/>
        <v>100</v>
      </c>
      <c r="H4517" s="333">
        <v>100</v>
      </c>
      <c r="I4517" s="121"/>
    </row>
    <row r="4518" spans="1:9" ht="16.5" hidden="1" customHeight="1" x14ac:dyDescent="0.25">
      <c r="A4518" s="170"/>
      <c r="B4518" s="170"/>
      <c r="C4518" s="222"/>
      <c r="D4518" s="542" t="s">
        <v>3279</v>
      </c>
      <c r="E4518" s="543">
        <v>525000000</v>
      </c>
      <c r="F4518" s="243">
        <v>525000000</v>
      </c>
      <c r="G4518" s="379">
        <f t="shared" si="271"/>
        <v>100</v>
      </c>
      <c r="H4518" s="379">
        <v>100</v>
      </c>
      <c r="I4518" s="111"/>
    </row>
    <row r="4519" spans="1:9" ht="16.5" hidden="1" customHeight="1" x14ac:dyDescent="0.25">
      <c r="A4519" s="170"/>
      <c r="B4519" s="170"/>
      <c r="C4519" s="222"/>
      <c r="D4519" s="542"/>
      <c r="E4519" s="543"/>
      <c r="F4519" s="243"/>
      <c r="G4519" s="379"/>
      <c r="H4519" s="379"/>
      <c r="I4519" s="111"/>
    </row>
    <row r="4520" spans="1:9" ht="16.5" hidden="1" customHeight="1" x14ac:dyDescent="0.25">
      <c r="A4520" s="170"/>
      <c r="B4520" s="170"/>
      <c r="C4520" s="222"/>
      <c r="D4520" s="540" t="s">
        <v>864</v>
      </c>
      <c r="E4520" s="541">
        <f>E4521</f>
        <v>1570000000</v>
      </c>
      <c r="F4520" s="242">
        <f>F4521</f>
        <v>1570000000</v>
      </c>
      <c r="G4520" s="333">
        <f>F4520/E4520%</f>
        <v>100</v>
      </c>
      <c r="H4520" s="333">
        <f>H4521</f>
        <v>100</v>
      </c>
      <c r="I4520" s="111"/>
    </row>
    <row r="4521" spans="1:9" s="115" customFormat="1" ht="16.5" hidden="1" customHeight="1" x14ac:dyDescent="0.25">
      <c r="A4521" s="171"/>
      <c r="B4521" s="171"/>
      <c r="C4521" s="222"/>
      <c r="D4521" s="540" t="s">
        <v>3280</v>
      </c>
      <c r="E4521" s="541">
        <f>E4522+E4523</f>
        <v>1570000000</v>
      </c>
      <c r="F4521" s="242">
        <f>F4522+F4523</f>
        <v>1570000000</v>
      </c>
      <c r="G4521" s="333">
        <f>F4521/E4521%</f>
        <v>100</v>
      </c>
      <c r="H4521" s="333">
        <v>100</v>
      </c>
      <c r="I4521" s="121"/>
    </row>
    <row r="4522" spans="1:9" ht="16.5" hidden="1" customHeight="1" x14ac:dyDescent="0.25">
      <c r="A4522" s="170"/>
      <c r="B4522" s="170"/>
      <c r="C4522" s="222"/>
      <c r="D4522" s="542" t="s">
        <v>3281</v>
      </c>
      <c r="E4522" s="543">
        <v>700000000</v>
      </c>
      <c r="F4522" s="243">
        <v>700000000</v>
      </c>
      <c r="G4522" s="379">
        <f>F4522/E4522%</f>
        <v>100</v>
      </c>
      <c r="H4522" s="379">
        <v>100</v>
      </c>
      <c r="I4522" s="111"/>
    </row>
    <row r="4523" spans="1:9" ht="16.5" hidden="1" customHeight="1" x14ac:dyDescent="0.25">
      <c r="A4523" s="170"/>
      <c r="B4523" s="170"/>
      <c r="C4523" s="222"/>
      <c r="D4523" s="542" t="s">
        <v>3282</v>
      </c>
      <c r="E4523" s="543">
        <v>870000000</v>
      </c>
      <c r="F4523" s="243">
        <v>870000000</v>
      </c>
      <c r="G4523" s="379">
        <f>F4523/E4523%</f>
        <v>100</v>
      </c>
      <c r="H4523" s="379">
        <v>100</v>
      </c>
      <c r="I4523" s="111"/>
    </row>
    <row r="4524" spans="1:9" ht="16.5" hidden="1" customHeight="1" x14ac:dyDescent="0.25">
      <c r="A4524" s="170"/>
      <c r="B4524" s="170"/>
      <c r="C4524" s="222"/>
      <c r="D4524" s="542"/>
      <c r="E4524" s="543"/>
      <c r="F4524" s="243"/>
      <c r="G4524" s="379"/>
      <c r="H4524" s="379"/>
      <c r="I4524" s="111"/>
    </row>
    <row r="4525" spans="1:9" ht="16.5" hidden="1" customHeight="1" x14ac:dyDescent="0.25">
      <c r="A4525" s="170"/>
      <c r="B4525" s="170"/>
      <c r="C4525" s="222"/>
      <c r="D4525" s="540" t="s">
        <v>1745</v>
      </c>
      <c r="E4525" s="541">
        <f>E4526</f>
        <v>450000000</v>
      </c>
      <c r="F4525" s="242">
        <f>F4526</f>
        <v>450000000</v>
      </c>
      <c r="G4525" s="333">
        <f>F4525/E4525%</f>
        <v>100</v>
      </c>
      <c r="H4525" s="379">
        <v>100</v>
      </c>
      <c r="I4525" s="111"/>
    </row>
    <row r="4526" spans="1:9" s="115" customFormat="1" ht="18" hidden="1" customHeight="1" x14ac:dyDescent="0.25">
      <c r="A4526" s="171"/>
      <c r="B4526" s="171"/>
      <c r="C4526" s="222"/>
      <c r="D4526" s="540" t="s">
        <v>3283</v>
      </c>
      <c r="E4526" s="541">
        <f>E4527</f>
        <v>450000000</v>
      </c>
      <c r="F4526" s="242">
        <f>F4527</f>
        <v>450000000</v>
      </c>
      <c r="G4526" s="333">
        <f>F4526/E4526%</f>
        <v>100</v>
      </c>
      <c r="H4526" s="333">
        <v>100</v>
      </c>
      <c r="I4526" s="121"/>
    </row>
    <row r="4527" spans="1:9" ht="18" hidden="1" customHeight="1" x14ac:dyDescent="0.25">
      <c r="A4527" s="170"/>
      <c r="B4527" s="170"/>
      <c r="C4527" s="222"/>
      <c r="D4527" s="542" t="s">
        <v>3284</v>
      </c>
      <c r="E4527" s="543">
        <v>450000000</v>
      </c>
      <c r="F4527" s="243">
        <v>450000000</v>
      </c>
      <c r="G4527" s="379">
        <f>F4527/E4527%</f>
        <v>100</v>
      </c>
      <c r="H4527" s="379">
        <v>100</v>
      </c>
      <c r="I4527" s="111"/>
    </row>
    <row r="4528" spans="1:9" ht="16.5" hidden="1" customHeight="1" x14ac:dyDescent="0.25">
      <c r="A4528" s="170"/>
      <c r="B4528" s="170"/>
      <c r="C4528" s="222"/>
      <c r="D4528" s="542"/>
      <c r="E4528" s="543"/>
      <c r="F4528" s="243"/>
      <c r="G4528" s="379"/>
      <c r="H4528" s="379"/>
      <c r="I4528" s="111"/>
    </row>
    <row r="4529" spans="1:9" ht="16.5" hidden="1" customHeight="1" x14ac:dyDescent="0.25">
      <c r="A4529" s="170"/>
      <c r="B4529" s="170"/>
      <c r="C4529" s="222"/>
      <c r="D4529" s="540" t="s">
        <v>889</v>
      </c>
      <c r="E4529" s="541">
        <f>E4530</f>
        <v>1150000000</v>
      </c>
      <c r="F4529" s="242">
        <f>F4530</f>
        <v>1150000000</v>
      </c>
      <c r="G4529" s="333">
        <f>F4529/E4529%</f>
        <v>100</v>
      </c>
      <c r="H4529" s="333">
        <v>100</v>
      </c>
      <c r="I4529" s="111"/>
    </row>
    <row r="4530" spans="1:9" s="115" customFormat="1" ht="16.5" hidden="1" customHeight="1" x14ac:dyDescent="0.25">
      <c r="A4530" s="171"/>
      <c r="B4530" s="171"/>
      <c r="C4530" s="222"/>
      <c r="D4530" s="540" t="s">
        <v>275</v>
      </c>
      <c r="E4530" s="541">
        <f>SUM(E4531:E4532)</f>
        <v>1150000000</v>
      </c>
      <c r="F4530" s="242">
        <f>SUM(F4531:F4532)</f>
        <v>1150000000</v>
      </c>
      <c r="G4530" s="333">
        <f>F4530/E4530%</f>
        <v>100</v>
      </c>
      <c r="H4530" s="333">
        <v>100</v>
      </c>
      <c r="I4530" s="121"/>
    </row>
    <row r="4531" spans="1:9" ht="16.5" hidden="1" customHeight="1" x14ac:dyDescent="0.25">
      <c r="A4531" s="170"/>
      <c r="B4531" s="170"/>
      <c r="C4531" s="222"/>
      <c r="D4531" s="542" t="s">
        <v>3285</v>
      </c>
      <c r="E4531" s="543">
        <v>650000000</v>
      </c>
      <c r="F4531" s="243">
        <v>650000000</v>
      </c>
      <c r="G4531" s="379">
        <f>F4531/E4531%</f>
        <v>100</v>
      </c>
      <c r="H4531" s="379">
        <v>100</v>
      </c>
      <c r="I4531" s="111"/>
    </row>
    <row r="4532" spans="1:9" ht="16.5" hidden="1" customHeight="1" x14ac:dyDescent="0.25">
      <c r="A4532" s="170"/>
      <c r="B4532" s="170"/>
      <c r="C4532" s="222"/>
      <c r="D4532" s="542" t="s">
        <v>3286</v>
      </c>
      <c r="E4532" s="543">
        <v>500000000</v>
      </c>
      <c r="F4532" s="243">
        <v>500000000</v>
      </c>
      <c r="G4532" s="379">
        <f>F4532/E4532%</f>
        <v>100</v>
      </c>
      <c r="H4532" s="379">
        <v>100</v>
      </c>
      <c r="I4532" s="111"/>
    </row>
    <row r="4533" spans="1:9" ht="16.5" hidden="1" customHeight="1" x14ac:dyDescent="0.25">
      <c r="A4533" s="170"/>
      <c r="B4533" s="170"/>
      <c r="C4533" s="222"/>
      <c r="D4533" s="542"/>
      <c r="E4533" s="543"/>
      <c r="F4533" s="243"/>
      <c r="G4533" s="379"/>
      <c r="H4533" s="379"/>
      <c r="I4533" s="111"/>
    </row>
    <row r="4534" spans="1:9" ht="16.5" hidden="1" customHeight="1" x14ac:dyDescent="0.25">
      <c r="A4534" s="170"/>
      <c r="B4534" s="170"/>
      <c r="C4534" s="222"/>
      <c r="D4534" s="540" t="s">
        <v>905</v>
      </c>
      <c r="E4534" s="541">
        <f>E4535</f>
        <v>500000000</v>
      </c>
      <c r="F4534" s="242">
        <f>F4535</f>
        <v>500000000</v>
      </c>
      <c r="G4534" s="379">
        <f>F4534/E4534%</f>
        <v>100</v>
      </c>
      <c r="H4534" s="379">
        <v>100</v>
      </c>
      <c r="I4534" s="111"/>
    </row>
    <row r="4535" spans="1:9" s="115" customFormat="1" ht="16.5" hidden="1" customHeight="1" x14ac:dyDescent="0.25">
      <c r="A4535" s="171"/>
      <c r="B4535" s="171"/>
      <c r="C4535" s="222"/>
      <c r="D4535" s="540" t="s">
        <v>405</v>
      </c>
      <c r="E4535" s="541">
        <f>E4536</f>
        <v>500000000</v>
      </c>
      <c r="F4535" s="242">
        <f>F4536</f>
        <v>500000000</v>
      </c>
      <c r="G4535" s="333">
        <f>F4535/E4535%</f>
        <v>100</v>
      </c>
      <c r="H4535" s="333">
        <v>100</v>
      </c>
      <c r="I4535" s="121"/>
    </row>
    <row r="4536" spans="1:9" ht="26.25" hidden="1" customHeight="1" x14ac:dyDescent="0.25">
      <c r="A4536" s="170"/>
      <c r="B4536" s="170"/>
      <c r="C4536" s="222"/>
      <c r="D4536" s="542" t="s">
        <v>3287</v>
      </c>
      <c r="E4536" s="543">
        <v>500000000</v>
      </c>
      <c r="F4536" s="243">
        <v>500000000</v>
      </c>
      <c r="G4536" s="379">
        <f>F4536/E4536%</f>
        <v>100</v>
      </c>
      <c r="H4536" s="379">
        <v>100</v>
      </c>
      <c r="I4536" s="111"/>
    </row>
    <row r="4537" spans="1:9" ht="16.5" hidden="1" customHeight="1" x14ac:dyDescent="0.25">
      <c r="A4537" s="170"/>
      <c r="B4537" s="170"/>
      <c r="C4537" s="222"/>
      <c r="D4537" s="542"/>
      <c r="E4537" s="543"/>
      <c r="F4537" s="243"/>
      <c r="G4537" s="379"/>
      <c r="H4537" s="379"/>
      <c r="I4537" s="111"/>
    </row>
    <row r="4538" spans="1:9" ht="16.5" hidden="1" customHeight="1" x14ac:dyDescent="0.25">
      <c r="A4538" s="170"/>
      <c r="B4538" s="170"/>
      <c r="C4538" s="222"/>
      <c r="D4538" s="540" t="s">
        <v>3288</v>
      </c>
      <c r="E4538" s="541">
        <f>E4539+E4541</f>
        <v>53190000000</v>
      </c>
      <c r="F4538" s="242">
        <f>F4539+F4541</f>
        <v>47173960000</v>
      </c>
      <c r="G4538" s="379">
        <f>F4538/E4538%</f>
        <v>88.689528106786994</v>
      </c>
      <c r="H4538" s="379">
        <f>(H4539+H4541)/2</f>
        <v>95</v>
      </c>
      <c r="I4538" s="111"/>
    </row>
    <row r="4539" spans="1:9" s="115" customFormat="1" ht="16.5" hidden="1" customHeight="1" x14ac:dyDescent="0.25">
      <c r="A4539" s="171"/>
      <c r="B4539" s="171"/>
      <c r="C4539" s="222"/>
      <c r="D4539" s="542" t="s">
        <v>1043</v>
      </c>
      <c r="E4539" s="543">
        <f>E4540</f>
        <v>52890000000</v>
      </c>
      <c r="F4539" s="243">
        <f>F4540</f>
        <v>46873960000</v>
      </c>
      <c r="G4539" s="333">
        <f>F4539/E4539%</f>
        <v>88.625373416524866</v>
      </c>
      <c r="H4539" s="333">
        <f>H4540</f>
        <v>90</v>
      </c>
      <c r="I4539" s="121"/>
    </row>
    <row r="4540" spans="1:9" ht="16.5" hidden="1" customHeight="1" x14ac:dyDescent="0.25">
      <c r="A4540" s="170"/>
      <c r="B4540" s="170"/>
      <c r="C4540" s="222"/>
      <c r="D4540" s="542" t="s">
        <v>1043</v>
      </c>
      <c r="E4540" s="543">
        <v>52890000000</v>
      </c>
      <c r="F4540" s="243">
        <v>46873960000</v>
      </c>
      <c r="G4540" s="379">
        <f>F4540/E4540%</f>
        <v>88.625373416524866</v>
      </c>
      <c r="H4540" s="379">
        <v>90</v>
      </c>
      <c r="I4540" s="111"/>
    </row>
    <row r="4541" spans="1:9" s="115" customFormat="1" ht="18" hidden="1" customHeight="1" x14ac:dyDescent="0.25">
      <c r="A4541" s="171"/>
      <c r="B4541" s="171"/>
      <c r="C4541" s="222"/>
      <c r="D4541" s="540" t="s">
        <v>3289</v>
      </c>
      <c r="E4541" s="541">
        <f>E4542</f>
        <v>300000000</v>
      </c>
      <c r="F4541" s="242">
        <f>F4542</f>
        <v>300000000</v>
      </c>
      <c r="G4541" s="333">
        <f>F4541/E4541%</f>
        <v>100</v>
      </c>
      <c r="H4541" s="333">
        <v>100</v>
      </c>
      <c r="I4541" s="121"/>
    </row>
    <row r="4542" spans="1:9" ht="18" hidden="1" customHeight="1" x14ac:dyDescent="0.25">
      <c r="A4542" s="170"/>
      <c r="B4542" s="170"/>
      <c r="C4542" s="222"/>
      <c r="D4542" s="542" t="s">
        <v>3290</v>
      </c>
      <c r="E4542" s="543">
        <v>300000000</v>
      </c>
      <c r="F4542" s="243">
        <v>300000000</v>
      </c>
      <c r="G4542" s="379">
        <f>F4542/E4542%</f>
        <v>100</v>
      </c>
      <c r="H4542" s="379">
        <v>100</v>
      </c>
      <c r="I4542" s="111"/>
    </row>
    <row r="4543" spans="1:9" ht="16.5" hidden="1" customHeight="1" x14ac:dyDescent="0.25">
      <c r="A4543" s="170"/>
      <c r="B4543" s="170"/>
      <c r="C4543" s="222"/>
      <c r="D4543" s="542"/>
      <c r="E4543" s="543"/>
      <c r="F4543" s="243"/>
      <c r="G4543" s="333"/>
      <c r="H4543" s="333"/>
      <c r="I4543" s="111"/>
    </row>
    <row r="4544" spans="1:9" s="115" customFormat="1" ht="16.5" hidden="1" customHeight="1" x14ac:dyDescent="0.25">
      <c r="A4544" s="171"/>
      <c r="B4544" s="171"/>
      <c r="C4544" s="222"/>
      <c r="D4544" s="540" t="s">
        <v>624</v>
      </c>
      <c r="E4544" s="541">
        <f>E4545</f>
        <v>300000000</v>
      </c>
      <c r="F4544" s="242">
        <f>F4545</f>
        <v>299990000</v>
      </c>
      <c r="G4544" s="333">
        <f>F4544/E4544%</f>
        <v>99.99666666666667</v>
      </c>
      <c r="H4544" s="333">
        <v>100</v>
      </c>
      <c r="I4544" s="121"/>
    </row>
    <row r="4545" spans="1:9" s="115" customFormat="1" ht="18" hidden="1" customHeight="1" x14ac:dyDescent="0.25">
      <c r="A4545" s="171"/>
      <c r="B4545" s="171"/>
      <c r="C4545" s="222"/>
      <c r="D4545" s="540" t="s">
        <v>1470</v>
      </c>
      <c r="E4545" s="541">
        <f>E4546</f>
        <v>300000000</v>
      </c>
      <c r="F4545" s="242">
        <f>F4546</f>
        <v>299990000</v>
      </c>
      <c r="G4545" s="333">
        <f>F4545/E4545%</f>
        <v>99.99666666666667</v>
      </c>
      <c r="H4545" s="333">
        <v>100</v>
      </c>
      <c r="I4545" s="121"/>
    </row>
    <row r="4546" spans="1:9" ht="18" hidden="1" customHeight="1" x14ac:dyDescent="0.25">
      <c r="A4546" s="170"/>
      <c r="B4546" s="170"/>
      <c r="C4546" s="222"/>
      <c r="D4546" s="542" t="s">
        <v>3291</v>
      </c>
      <c r="E4546" s="543">
        <v>300000000</v>
      </c>
      <c r="F4546" s="243">
        <v>299990000</v>
      </c>
      <c r="G4546" s="379">
        <f>F4546/E4546%</f>
        <v>99.99666666666667</v>
      </c>
      <c r="H4546" s="379">
        <v>100</v>
      </c>
      <c r="I4546" s="111"/>
    </row>
    <row r="4547" spans="1:9" ht="16.5" hidden="1" customHeight="1" x14ac:dyDescent="0.25">
      <c r="A4547" s="170"/>
      <c r="B4547" s="170"/>
      <c r="C4547" s="222"/>
      <c r="D4547" s="119"/>
      <c r="E4547" s="116"/>
      <c r="F4547" s="108"/>
      <c r="G4547" s="117"/>
      <c r="H4547" s="117"/>
      <c r="I4547" s="111"/>
    </row>
    <row r="4548" spans="1:9" s="115" customFormat="1" ht="16.5" customHeight="1" x14ac:dyDescent="0.25">
      <c r="A4548" s="171"/>
      <c r="B4548" s="171"/>
      <c r="C4548" s="222" t="s">
        <v>3292</v>
      </c>
      <c r="D4548" s="121" t="s">
        <v>3293</v>
      </c>
      <c r="E4548" s="120">
        <f>E4549+E4575+E4600+E4606+E4614+E4619+E4623+E4627+E4653+E4663</f>
        <v>107773285000</v>
      </c>
      <c r="F4548" s="113">
        <f>+F4549+F4575+F4600+F4606+F4614+F4619+F4623+F4627+F4653+F4663+F4671</f>
        <v>105516116380</v>
      </c>
      <c r="G4548" s="114">
        <f>+F4548/E4548*100</f>
        <v>97.905632532217979</v>
      </c>
      <c r="H4548" s="114">
        <f>(H4549+H4571+H4575+H4600+H4606+H4614+H4619+H4623+H4627+H4653+H4663)/11</f>
        <v>99.176149303181234</v>
      </c>
      <c r="I4548" s="121"/>
    </row>
    <row r="4549" spans="1:9" s="115" customFormat="1" ht="16.5" hidden="1" customHeight="1" x14ac:dyDescent="0.25">
      <c r="A4549" s="171"/>
      <c r="B4549" s="171"/>
      <c r="C4549" s="222"/>
      <c r="D4549" s="121" t="s">
        <v>82</v>
      </c>
      <c r="E4549" s="120">
        <f>(E4550+E4557+E4560+E4563+E4566+E4572)</f>
        <v>32331985500</v>
      </c>
      <c r="F4549" s="242">
        <f>(F4550+F4557+F4560+F4563+F4566+F4571)</f>
        <v>30967381100</v>
      </c>
      <c r="G4549" s="246">
        <f>(G4550+G4557+G4560+G4563+G4566+G4572)/6</f>
        <v>94.952109395953286</v>
      </c>
      <c r="H4549" s="246">
        <f>(H4550+H4557+H4560+H4563+H4566+H4572)/6</f>
        <v>98.174880603026637</v>
      </c>
      <c r="I4549" s="121"/>
    </row>
    <row r="4550" spans="1:9" s="115" customFormat="1" ht="16.5" hidden="1" customHeight="1" x14ac:dyDescent="0.25">
      <c r="A4550" s="171"/>
      <c r="B4550" s="171"/>
      <c r="C4550" s="222"/>
      <c r="D4550" s="48" t="s">
        <v>797</v>
      </c>
      <c r="E4550" s="120">
        <f>SUM(E4551:E4556)</f>
        <v>5249360000</v>
      </c>
      <c r="F4550" s="332">
        <f>SUM(F4551:F4556)</f>
        <v>4066030000</v>
      </c>
      <c r="G4550" s="333">
        <f t="shared" ref="G4550:G4569" si="272">(F4550/E4550)*100</f>
        <v>77.457632930490576</v>
      </c>
      <c r="H4550" s="333">
        <f>(H4551+H4552+H4553+H4554+H4555+H4556)/6</f>
        <v>95.833333333333329</v>
      </c>
      <c r="I4550" s="121"/>
    </row>
    <row r="4551" spans="1:9" ht="16.5" hidden="1" customHeight="1" x14ac:dyDescent="0.25">
      <c r="A4551" s="170"/>
      <c r="B4551" s="170"/>
      <c r="C4551" s="222"/>
      <c r="D4551" s="111" t="s">
        <v>3294</v>
      </c>
      <c r="E4551" s="107">
        <v>179500000</v>
      </c>
      <c r="F4551" s="243">
        <v>179000000</v>
      </c>
      <c r="G4551" s="379">
        <f t="shared" si="272"/>
        <v>99.721448467966582</v>
      </c>
      <c r="H4551" s="247">
        <v>100</v>
      </c>
      <c r="I4551" s="111"/>
    </row>
    <row r="4552" spans="1:9" ht="16.5" hidden="1" customHeight="1" x14ac:dyDescent="0.25">
      <c r="A4552" s="170"/>
      <c r="B4552" s="170"/>
      <c r="C4552" s="222"/>
      <c r="D4552" s="118" t="s">
        <v>3295</v>
      </c>
      <c r="E4552" s="107">
        <v>720000000</v>
      </c>
      <c r="F4552" s="243">
        <v>720000000</v>
      </c>
      <c r="G4552" s="379">
        <f t="shared" si="272"/>
        <v>100</v>
      </c>
      <c r="H4552" s="334">
        <v>100</v>
      </c>
      <c r="I4552" s="111"/>
    </row>
    <row r="4553" spans="1:9" ht="16.5" hidden="1" customHeight="1" x14ac:dyDescent="0.25">
      <c r="A4553" s="170"/>
      <c r="B4553" s="170"/>
      <c r="C4553" s="222"/>
      <c r="D4553" s="118" t="s">
        <v>3296</v>
      </c>
      <c r="E4553" s="107">
        <v>2837640000</v>
      </c>
      <c r="F4553" s="243">
        <v>1692600000</v>
      </c>
      <c r="G4553" s="379">
        <f t="shared" si="272"/>
        <v>59.648158328752068</v>
      </c>
      <c r="H4553" s="247">
        <v>75</v>
      </c>
      <c r="I4553" s="111"/>
    </row>
    <row r="4554" spans="1:9" ht="16.5" hidden="1" customHeight="1" x14ac:dyDescent="0.25">
      <c r="A4554" s="170"/>
      <c r="B4554" s="170"/>
      <c r="C4554" s="222"/>
      <c r="D4554" s="118" t="s">
        <v>3297</v>
      </c>
      <c r="E4554" s="107">
        <v>905220000</v>
      </c>
      <c r="F4554" s="243">
        <v>873500000</v>
      </c>
      <c r="G4554" s="379">
        <f t="shared" si="272"/>
        <v>96.495879454718192</v>
      </c>
      <c r="H4554" s="247">
        <v>100</v>
      </c>
      <c r="I4554" s="111"/>
    </row>
    <row r="4555" spans="1:9" ht="16.5" hidden="1" customHeight="1" x14ac:dyDescent="0.25">
      <c r="A4555" s="170"/>
      <c r="B4555" s="170"/>
      <c r="C4555" s="222"/>
      <c r="D4555" s="118" t="s">
        <v>3298</v>
      </c>
      <c r="E4555" s="107">
        <v>370000000</v>
      </c>
      <c r="F4555" s="243">
        <v>366300000</v>
      </c>
      <c r="G4555" s="379">
        <f t="shared" si="272"/>
        <v>99</v>
      </c>
      <c r="H4555" s="247">
        <v>100</v>
      </c>
      <c r="I4555" s="111"/>
    </row>
    <row r="4556" spans="1:9" ht="16.5" hidden="1" customHeight="1" x14ac:dyDescent="0.25">
      <c r="A4556" s="170"/>
      <c r="B4556" s="170"/>
      <c r="C4556" s="222"/>
      <c r="D4556" s="118" t="s">
        <v>3299</v>
      </c>
      <c r="E4556" s="107">
        <v>237000000</v>
      </c>
      <c r="F4556" s="243">
        <v>234630000</v>
      </c>
      <c r="G4556" s="379">
        <f t="shared" si="272"/>
        <v>99</v>
      </c>
      <c r="H4556" s="247">
        <v>100</v>
      </c>
      <c r="I4556" s="111"/>
    </row>
    <row r="4557" spans="1:9" s="115" customFormat="1" ht="16.5" hidden="1" customHeight="1" x14ac:dyDescent="0.25">
      <c r="A4557" s="171"/>
      <c r="B4557" s="171"/>
      <c r="C4557" s="222"/>
      <c r="D4557" s="48" t="s">
        <v>3300</v>
      </c>
      <c r="E4557" s="120">
        <f>SUM(E4558:E4559)</f>
        <v>1101250000</v>
      </c>
      <c r="F4557" s="332">
        <f>SUM(F4558:F4559)</f>
        <v>1101200000</v>
      </c>
      <c r="G4557" s="333">
        <f t="shared" si="272"/>
        <v>99.995459704880815</v>
      </c>
      <c r="H4557" s="333">
        <f>(H4558+H4559)/2</f>
        <v>100</v>
      </c>
      <c r="I4557" s="121"/>
    </row>
    <row r="4558" spans="1:9" ht="16.5" hidden="1" customHeight="1" x14ac:dyDescent="0.25">
      <c r="A4558" s="170"/>
      <c r="B4558" s="170"/>
      <c r="C4558" s="222"/>
      <c r="D4558" s="118" t="s">
        <v>3301</v>
      </c>
      <c r="E4558" s="107">
        <v>240000000</v>
      </c>
      <c r="F4558" s="243">
        <v>240000000</v>
      </c>
      <c r="G4558" s="379">
        <f t="shared" si="272"/>
        <v>100</v>
      </c>
      <c r="H4558" s="247">
        <v>100</v>
      </c>
      <c r="I4558" s="111"/>
    </row>
    <row r="4559" spans="1:9" ht="18" hidden="1" customHeight="1" x14ac:dyDescent="0.25">
      <c r="A4559" s="170"/>
      <c r="B4559" s="170"/>
      <c r="C4559" s="222"/>
      <c r="D4559" s="118" t="s">
        <v>3302</v>
      </c>
      <c r="E4559" s="107">
        <v>861250000</v>
      </c>
      <c r="F4559" s="243">
        <v>861200000</v>
      </c>
      <c r="G4559" s="379">
        <f t="shared" si="272"/>
        <v>99.994194484760527</v>
      </c>
      <c r="H4559" s="247">
        <v>100</v>
      </c>
      <c r="I4559" s="111"/>
    </row>
    <row r="4560" spans="1:9" s="115" customFormat="1" ht="16.5" hidden="1" customHeight="1" x14ac:dyDescent="0.25">
      <c r="A4560" s="171"/>
      <c r="B4560" s="171"/>
      <c r="C4560" s="222"/>
      <c r="D4560" s="48" t="s">
        <v>3303</v>
      </c>
      <c r="E4560" s="120">
        <f>SUM(E4561:E4562)</f>
        <v>12560805500</v>
      </c>
      <c r="F4560" s="332">
        <f>SUM(F4561:F4562)</f>
        <v>12503201100</v>
      </c>
      <c r="G4560" s="333">
        <f t="shared" si="272"/>
        <v>99.541395653328124</v>
      </c>
      <c r="H4560" s="246">
        <f>(H4561+H4562)/2</f>
        <v>100</v>
      </c>
      <c r="I4560" s="121"/>
    </row>
    <row r="4561" spans="1:9" ht="16.5" hidden="1" customHeight="1" x14ac:dyDescent="0.25">
      <c r="A4561" s="170"/>
      <c r="B4561" s="170"/>
      <c r="C4561" s="222"/>
      <c r="D4561" s="32" t="s">
        <v>3304</v>
      </c>
      <c r="E4561" s="107">
        <v>5790000000</v>
      </c>
      <c r="F4561" s="243">
        <v>5790000000</v>
      </c>
      <c r="G4561" s="379">
        <f t="shared" si="272"/>
        <v>100</v>
      </c>
      <c r="H4561" s="247">
        <v>100</v>
      </c>
      <c r="I4561" s="111"/>
    </row>
    <row r="4562" spans="1:9" ht="16.5" hidden="1" customHeight="1" x14ac:dyDescent="0.25">
      <c r="A4562" s="170"/>
      <c r="B4562" s="170"/>
      <c r="C4562" s="222"/>
      <c r="D4562" s="119" t="s">
        <v>3305</v>
      </c>
      <c r="E4562" s="107">
        <v>6770805500</v>
      </c>
      <c r="F4562" s="243">
        <v>6713201100</v>
      </c>
      <c r="G4562" s="379">
        <f t="shared" si="272"/>
        <v>99.149223825732406</v>
      </c>
      <c r="H4562" s="247">
        <v>100</v>
      </c>
      <c r="I4562" s="111"/>
    </row>
    <row r="4563" spans="1:9" s="115" customFormat="1" ht="16.5" hidden="1" customHeight="1" x14ac:dyDescent="0.25">
      <c r="A4563" s="171"/>
      <c r="B4563" s="171"/>
      <c r="C4563" s="222"/>
      <c r="D4563" s="48" t="s">
        <v>3306</v>
      </c>
      <c r="E4563" s="120">
        <f>E4564+E4565</f>
        <v>1544800000</v>
      </c>
      <c r="F4563" s="332">
        <f>F4564+F4565</f>
        <v>1440000000</v>
      </c>
      <c r="G4563" s="333">
        <f t="shared" si="272"/>
        <v>93.215950284826505</v>
      </c>
      <c r="H4563" s="246">
        <f>(F4563/E4563)*100</f>
        <v>93.215950284826505</v>
      </c>
      <c r="I4563" s="121"/>
    </row>
    <row r="4564" spans="1:9" ht="16.5" hidden="1" customHeight="1" x14ac:dyDescent="0.25">
      <c r="A4564" s="170"/>
      <c r="B4564" s="170"/>
      <c r="C4564" s="222"/>
      <c r="D4564" s="118" t="s">
        <v>3307</v>
      </c>
      <c r="E4564" s="107">
        <v>1440000000</v>
      </c>
      <c r="F4564" s="243">
        <v>1440000000</v>
      </c>
      <c r="G4564" s="379">
        <f t="shared" si="272"/>
        <v>100</v>
      </c>
      <c r="H4564" s="247">
        <v>100</v>
      </c>
      <c r="I4564" s="111"/>
    </row>
    <row r="4565" spans="1:9" ht="16.5" hidden="1" customHeight="1" x14ac:dyDescent="0.25">
      <c r="A4565" s="170"/>
      <c r="B4565" s="170"/>
      <c r="C4565" s="222"/>
      <c r="D4565" s="118" t="s">
        <v>3308</v>
      </c>
      <c r="E4565" s="107">
        <v>104800000</v>
      </c>
      <c r="F4565" s="243">
        <v>0</v>
      </c>
      <c r="G4565" s="379">
        <f t="shared" si="272"/>
        <v>0</v>
      </c>
      <c r="H4565" s="247">
        <v>0</v>
      </c>
      <c r="I4565" s="111"/>
    </row>
    <row r="4566" spans="1:9" s="115" customFormat="1" ht="16.5" hidden="1" customHeight="1" x14ac:dyDescent="0.25">
      <c r="A4566" s="171"/>
      <c r="B4566" s="171"/>
      <c r="C4566" s="222"/>
      <c r="D4566" s="335" t="s">
        <v>916</v>
      </c>
      <c r="E4566" s="120">
        <f>SUM(E4567:E4569)</f>
        <v>3780770000</v>
      </c>
      <c r="F4566" s="332">
        <f>SUM(F4567:F4569)</f>
        <v>3761950000</v>
      </c>
      <c r="G4566" s="333">
        <f t="shared" si="272"/>
        <v>99.502217802193741</v>
      </c>
      <c r="H4566" s="246">
        <f>(H4567+H4568+H4569)/3</f>
        <v>100</v>
      </c>
      <c r="I4566" s="121"/>
    </row>
    <row r="4567" spans="1:9" ht="16.5" hidden="1" customHeight="1" x14ac:dyDescent="0.25">
      <c r="A4567" s="170"/>
      <c r="B4567" s="170"/>
      <c r="C4567" s="222"/>
      <c r="D4567" s="111" t="s">
        <v>3307</v>
      </c>
      <c r="E4567" s="107">
        <v>1170000000</v>
      </c>
      <c r="F4567" s="243">
        <v>1170000000</v>
      </c>
      <c r="G4567" s="379">
        <f t="shared" si="272"/>
        <v>100</v>
      </c>
      <c r="H4567" s="247">
        <v>100</v>
      </c>
      <c r="I4567" s="111"/>
    </row>
    <row r="4568" spans="1:9" ht="16.5" hidden="1" customHeight="1" x14ac:dyDescent="0.25">
      <c r="A4568" s="170"/>
      <c r="B4568" s="170"/>
      <c r="C4568" s="222"/>
      <c r="D4568" s="111" t="s">
        <v>3309</v>
      </c>
      <c r="E4568" s="107">
        <v>68450000</v>
      </c>
      <c r="F4568" s="243">
        <v>68450000</v>
      </c>
      <c r="G4568" s="379">
        <f t="shared" si="272"/>
        <v>100</v>
      </c>
      <c r="H4568" s="247">
        <v>100</v>
      </c>
      <c r="I4568" s="111"/>
    </row>
    <row r="4569" spans="1:9" ht="16.5" hidden="1" customHeight="1" x14ac:dyDescent="0.25">
      <c r="A4569" s="170"/>
      <c r="B4569" s="170"/>
      <c r="C4569" s="222"/>
      <c r="D4569" s="111" t="s">
        <v>3310</v>
      </c>
      <c r="E4569" s="107">
        <v>2542320000</v>
      </c>
      <c r="F4569" s="243">
        <v>2523500000</v>
      </c>
      <c r="G4569" s="379">
        <f t="shared" si="272"/>
        <v>99.259731269077065</v>
      </c>
      <c r="H4569" s="247">
        <v>100</v>
      </c>
      <c r="I4569" s="111"/>
    </row>
    <row r="4570" spans="1:9" ht="16.5" hidden="1" customHeight="1" x14ac:dyDescent="0.25">
      <c r="A4570" s="170"/>
      <c r="B4570" s="170"/>
      <c r="C4570" s="222"/>
      <c r="D4570" s="111"/>
      <c r="E4570" s="107"/>
      <c r="F4570" s="108"/>
      <c r="G4570" s="117"/>
      <c r="H4570" s="114"/>
      <c r="I4570" s="111"/>
    </row>
    <row r="4571" spans="1:9" s="115" customFormat="1" ht="16.5" hidden="1" customHeight="1" x14ac:dyDescent="0.25">
      <c r="A4571" s="171"/>
      <c r="B4571" s="171"/>
      <c r="C4571" s="222"/>
      <c r="D4571" s="48" t="s">
        <v>964</v>
      </c>
      <c r="E4571" s="120">
        <f>E4572</f>
        <v>8095000000</v>
      </c>
      <c r="F4571" s="242">
        <f>F4572</f>
        <v>8095000000</v>
      </c>
      <c r="G4571" s="333">
        <f>+F4571/E4571*100</f>
        <v>100</v>
      </c>
      <c r="H4571" s="246">
        <f>+G4571</f>
        <v>100</v>
      </c>
      <c r="I4571" s="121"/>
    </row>
    <row r="4572" spans="1:9" s="115" customFormat="1" ht="16.5" hidden="1" customHeight="1" x14ac:dyDescent="0.25">
      <c r="A4572" s="171"/>
      <c r="B4572" s="171"/>
      <c r="C4572" s="222"/>
      <c r="D4572" s="335" t="s">
        <v>3311</v>
      </c>
      <c r="E4572" s="120">
        <f>E4573</f>
        <v>8095000000</v>
      </c>
      <c r="F4572" s="332">
        <f>F4573</f>
        <v>8095000000</v>
      </c>
      <c r="G4572" s="333">
        <f>(F4572/E4572)*100</f>
        <v>100</v>
      </c>
      <c r="H4572" s="246">
        <f>H4573</f>
        <v>100</v>
      </c>
      <c r="I4572" s="121"/>
    </row>
    <row r="4573" spans="1:9" ht="16.5" hidden="1" customHeight="1" x14ac:dyDescent="0.25">
      <c r="A4573" s="170"/>
      <c r="B4573" s="170"/>
      <c r="C4573" s="222"/>
      <c r="D4573" s="111" t="s">
        <v>3312</v>
      </c>
      <c r="E4573" s="107">
        <v>8095000000</v>
      </c>
      <c r="F4573" s="243">
        <v>8095000000</v>
      </c>
      <c r="G4573" s="379">
        <f>(F4573/E4573)*100</f>
        <v>100</v>
      </c>
      <c r="H4573" s="247">
        <v>100</v>
      </c>
      <c r="I4573" s="111"/>
    </row>
    <row r="4574" spans="1:9" ht="16.5" hidden="1" customHeight="1" x14ac:dyDescent="0.25">
      <c r="A4574" s="170"/>
      <c r="B4574" s="170"/>
      <c r="C4574" s="222"/>
      <c r="D4574" s="111"/>
      <c r="E4574" s="107"/>
      <c r="F4574" s="108"/>
      <c r="G4574" s="117"/>
      <c r="H4574" s="114"/>
      <c r="I4574" s="111"/>
    </row>
    <row r="4575" spans="1:9" s="115" customFormat="1" ht="16.5" hidden="1" customHeight="1" x14ac:dyDescent="0.25">
      <c r="A4575" s="171"/>
      <c r="B4575" s="171"/>
      <c r="C4575" s="222"/>
      <c r="D4575" s="48" t="s">
        <v>150</v>
      </c>
      <c r="E4575" s="120">
        <f>(E4576+E4578+E4582+E4585+E4588+E4591+E4593+E4595+E4597)</f>
        <v>16165992750</v>
      </c>
      <c r="F4575" s="242">
        <f>(F4576+F4578+F4582+F4585+F4588+F4591+F4593+F4595+F4597)</f>
        <v>15425470396</v>
      </c>
      <c r="G4575" s="336">
        <f>(G4576+G4578+G4582+G4585+G4588+G4591+G4593+G4595+G4597)/9</f>
        <v>98.697736547266672</v>
      </c>
      <c r="H4575" s="336">
        <f>(H4576+H4578+H4582+H4585+H4588+H4591+H4593+H4595+H4597)/9</f>
        <v>99.096095065300176</v>
      </c>
      <c r="I4575" s="121"/>
    </row>
    <row r="4576" spans="1:9" s="115" customFormat="1" ht="16.5" hidden="1" customHeight="1" x14ac:dyDescent="0.25">
      <c r="A4576" s="171"/>
      <c r="B4576" s="171"/>
      <c r="C4576" s="222"/>
      <c r="D4576" s="48" t="s">
        <v>156</v>
      </c>
      <c r="E4576" s="120">
        <f>E4577</f>
        <v>1563790050</v>
      </c>
      <c r="F4576" s="332">
        <f>F4577</f>
        <v>1545730506</v>
      </c>
      <c r="G4576" s="333">
        <f t="shared" ref="G4576:G4590" si="273">(F4576/E4576)*100</f>
        <v>98.845142671166116</v>
      </c>
      <c r="H4576" s="246">
        <f>H4577</f>
        <v>100</v>
      </c>
      <c r="I4576" s="121"/>
    </row>
    <row r="4577" spans="1:9" ht="16.5" hidden="1" customHeight="1" x14ac:dyDescent="0.25">
      <c r="A4577" s="170"/>
      <c r="B4577" s="170"/>
      <c r="C4577" s="222"/>
      <c r="D4577" s="118" t="s">
        <v>3313</v>
      </c>
      <c r="E4577" s="107">
        <v>1563790050</v>
      </c>
      <c r="F4577" s="243">
        <v>1545730506</v>
      </c>
      <c r="G4577" s="379">
        <f t="shared" si="273"/>
        <v>98.845142671166116</v>
      </c>
      <c r="H4577" s="247">
        <v>100</v>
      </c>
      <c r="I4577" s="111"/>
    </row>
    <row r="4578" spans="1:9" s="115" customFormat="1" ht="16.5" hidden="1" customHeight="1" x14ac:dyDescent="0.25">
      <c r="A4578" s="171"/>
      <c r="B4578" s="171"/>
      <c r="C4578" s="222"/>
      <c r="D4578" s="48" t="s">
        <v>166</v>
      </c>
      <c r="E4578" s="120">
        <f>SUM(E4579:E4581)</f>
        <v>8157200000</v>
      </c>
      <c r="F4578" s="332">
        <f>SUM(F4579:F4581)</f>
        <v>7493600000</v>
      </c>
      <c r="G4578" s="333">
        <f t="shared" si="273"/>
        <v>91.864855587701669</v>
      </c>
      <c r="H4578" s="246">
        <f>(F4578/E4578)*100</f>
        <v>91.864855587701669</v>
      </c>
      <c r="I4578" s="121"/>
    </row>
    <row r="4579" spans="1:9" ht="16.5" hidden="1" customHeight="1" x14ac:dyDescent="0.25">
      <c r="A4579" s="170"/>
      <c r="B4579" s="170"/>
      <c r="C4579" s="222"/>
      <c r="D4579" s="111" t="s">
        <v>3314</v>
      </c>
      <c r="E4579" s="107">
        <v>6880800000</v>
      </c>
      <c r="F4579" s="243">
        <v>6667200000</v>
      </c>
      <c r="G4579" s="379">
        <f t="shared" si="273"/>
        <v>96.895709801185916</v>
      </c>
      <c r="H4579" s="247">
        <v>100</v>
      </c>
      <c r="I4579" s="111"/>
    </row>
    <row r="4580" spans="1:9" ht="16.5" hidden="1" customHeight="1" x14ac:dyDescent="0.25">
      <c r="A4580" s="170"/>
      <c r="B4580" s="170"/>
      <c r="C4580" s="222"/>
      <c r="D4580" s="111" t="s">
        <v>3261</v>
      </c>
      <c r="E4580" s="107">
        <v>606400000</v>
      </c>
      <c r="F4580" s="243">
        <v>606400000</v>
      </c>
      <c r="G4580" s="379">
        <f t="shared" si="273"/>
        <v>100</v>
      </c>
      <c r="H4580" s="247">
        <v>100</v>
      </c>
      <c r="I4580" s="111"/>
    </row>
    <row r="4581" spans="1:9" ht="18" hidden="1" customHeight="1" x14ac:dyDescent="0.25">
      <c r="A4581" s="170"/>
      <c r="B4581" s="170"/>
      <c r="C4581" s="222"/>
      <c r="D4581" s="118" t="s">
        <v>3315</v>
      </c>
      <c r="E4581" s="107">
        <v>670000000</v>
      </c>
      <c r="F4581" s="243">
        <v>220000000</v>
      </c>
      <c r="G4581" s="379">
        <f t="shared" si="273"/>
        <v>32.835820895522389</v>
      </c>
      <c r="H4581" s="334">
        <v>33</v>
      </c>
      <c r="I4581" s="111"/>
    </row>
    <row r="4582" spans="1:9" s="115" customFormat="1" ht="16.5" hidden="1" customHeight="1" x14ac:dyDescent="0.25">
      <c r="A4582" s="171"/>
      <c r="B4582" s="171"/>
      <c r="C4582" s="222"/>
      <c r="D4582" s="48" t="s">
        <v>705</v>
      </c>
      <c r="E4582" s="120">
        <f>(E4584+E4583)</f>
        <v>830499700</v>
      </c>
      <c r="F4582" s="332">
        <f>(F4584+F4583)</f>
        <v>830499700</v>
      </c>
      <c r="G4582" s="333">
        <f t="shared" si="273"/>
        <v>100</v>
      </c>
      <c r="H4582" s="246">
        <f>(H4583+H4584)/2</f>
        <v>100</v>
      </c>
      <c r="I4582" s="121"/>
    </row>
    <row r="4583" spans="1:9" ht="16.5" hidden="1" customHeight="1" x14ac:dyDescent="0.25">
      <c r="A4583" s="170"/>
      <c r="B4583" s="170"/>
      <c r="C4583" s="222"/>
      <c r="D4583" s="111" t="s">
        <v>3316</v>
      </c>
      <c r="E4583" s="107">
        <v>247899700</v>
      </c>
      <c r="F4583" s="243">
        <v>247899700</v>
      </c>
      <c r="G4583" s="379">
        <f t="shared" si="273"/>
        <v>100</v>
      </c>
      <c r="H4583" s="247">
        <v>100</v>
      </c>
      <c r="I4583" s="111"/>
    </row>
    <row r="4584" spans="1:9" ht="16.5" hidden="1" customHeight="1" x14ac:dyDescent="0.25">
      <c r="A4584" s="170"/>
      <c r="B4584" s="170"/>
      <c r="C4584" s="222"/>
      <c r="D4584" s="111" t="s">
        <v>1211</v>
      </c>
      <c r="E4584" s="107">
        <v>582600000</v>
      </c>
      <c r="F4584" s="243">
        <v>582600000</v>
      </c>
      <c r="G4584" s="379">
        <f t="shared" si="273"/>
        <v>100</v>
      </c>
      <c r="H4584" s="247">
        <v>100</v>
      </c>
      <c r="I4584" s="111"/>
    </row>
    <row r="4585" spans="1:9" s="115" customFormat="1" ht="16.5" hidden="1" customHeight="1" x14ac:dyDescent="0.25">
      <c r="A4585" s="171"/>
      <c r="B4585" s="171"/>
      <c r="C4585" s="222"/>
      <c r="D4585" s="48" t="s">
        <v>177</v>
      </c>
      <c r="E4585" s="120">
        <f>(E4587+E4586)</f>
        <v>926950000</v>
      </c>
      <c r="F4585" s="332">
        <f>(F4587+F4586)</f>
        <v>926904190</v>
      </c>
      <c r="G4585" s="333">
        <f t="shared" si="273"/>
        <v>99.995057985867632</v>
      </c>
      <c r="H4585" s="246">
        <f>(H4586+H4587)/2</f>
        <v>100</v>
      </c>
      <c r="I4585" s="121"/>
    </row>
    <row r="4586" spans="1:9" ht="16.5" hidden="1" customHeight="1" x14ac:dyDescent="0.25">
      <c r="A4586" s="170"/>
      <c r="B4586" s="170"/>
      <c r="C4586" s="222"/>
      <c r="D4586" s="111" t="s">
        <v>3317</v>
      </c>
      <c r="E4586" s="107">
        <v>120000000</v>
      </c>
      <c r="F4586" s="243">
        <v>120000000</v>
      </c>
      <c r="G4586" s="379">
        <f t="shared" si="273"/>
        <v>100</v>
      </c>
      <c r="H4586" s="334">
        <v>100</v>
      </c>
      <c r="I4586" s="111"/>
    </row>
    <row r="4587" spans="1:9" ht="16.5" hidden="1" customHeight="1" x14ac:dyDescent="0.25">
      <c r="A4587" s="170"/>
      <c r="B4587" s="170"/>
      <c r="C4587" s="222"/>
      <c r="D4587" s="118" t="s">
        <v>3318</v>
      </c>
      <c r="E4587" s="107">
        <v>806950000</v>
      </c>
      <c r="F4587" s="243">
        <v>806904190</v>
      </c>
      <c r="G4587" s="379">
        <f t="shared" si="273"/>
        <v>99.99432306834376</v>
      </c>
      <c r="H4587" s="247">
        <v>100</v>
      </c>
      <c r="I4587" s="111"/>
    </row>
    <row r="4588" spans="1:9" s="115" customFormat="1" ht="16.5" hidden="1" customHeight="1" x14ac:dyDescent="0.25">
      <c r="A4588" s="171"/>
      <c r="B4588" s="171"/>
      <c r="C4588" s="222"/>
      <c r="D4588" s="48" t="s">
        <v>182</v>
      </c>
      <c r="E4588" s="120">
        <f>(E4590+E4589)</f>
        <v>684250000</v>
      </c>
      <c r="F4588" s="332">
        <f>(F4590+F4589)</f>
        <v>684250000</v>
      </c>
      <c r="G4588" s="333">
        <f t="shared" si="273"/>
        <v>100</v>
      </c>
      <c r="H4588" s="246">
        <f>(H4589+H4590)/2</f>
        <v>100</v>
      </c>
      <c r="I4588" s="121"/>
    </row>
    <row r="4589" spans="1:9" ht="16.5" hidden="1" customHeight="1" x14ac:dyDescent="0.25">
      <c r="A4589" s="170"/>
      <c r="B4589" s="170"/>
      <c r="C4589" s="222"/>
      <c r="D4589" s="111" t="s">
        <v>1218</v>
      </c>
      <c r="E4589" s="107">
        <v>209000000</v>
      </c>
      <c r="F4589" s="243">
        <v>209000000</v>
      </c>
      <c r="G4589" s="379">
        <f t="shared" si="273"/>
        <v>100</v>
      </c>
      <c r="H4589" s="247">
        <v>100</v>
      </c>
      <c r="I4589" s="111"/>
    </row>
    <row r="4590" spans="1:9" ht="18" hidden="1" customHeight="1" x14ac:dyDescent="0.25">
      <c r="A4590" s="170"/>
      <c r="B4590" s="170"/>
      <c r="C4590" s="222"/>
      <c r="D4590" s="118" t="s">
        <v>3319</v>
      </c>
      <c r="E4590" s="107">
        <v>475250000</v>
      </c>
      <c r="F4590" s="243">
        <v>475250000</v>
      </c>
      <c r="G4590" s="379">
        <f t="shared" si="273"/>
        <v>100</v>
      </c>
      <c r="H4590" s="334">
        <v>100</v>
      </c>
      <c r="I4590" s="111"/>
    </row>
    <row r="4591" spans="1:9" s="115" customFormat="1" ht="16.5" hidden="1" customHeight="1" x14ac:dyDescent="0.25">
      <c r="A4591" s="171"/>
      <c r="B4591" s="171"/>
      <c r="C4591" s="222"/>
      <c r="D4591" s="48" t="s">
        <v>3320</v>
      </c>
      <c r="E4591" s="120">
        <f>E4592</f>
        <v>259480000</v>
      </c>
      <c r="F4591" s="332">
        <f>F4592</f>
        <v>259480000</v>
      </c>
      <c r="G4591" s="333">
        <f>G4592</f>
        <v>100</v>
      </c>
      <c r="H4591" s="246">
        <f>H4592</f>
        <v>100</v>
      </c>
      <c r="I4591" s="121"/>
    </row>
    <row r="4592" spans="1:9" ht="16.5" hidden="1" customHeight="1" x14ac:dyDescent="0.25">
      <c r="A4592" s="170"/>
      <c r="B4592" s="170"/>
      <c r="C4592" s="222"/>
      <c r="D4592" s="111" t="s">
        <v>3321</v>
      </c>
      <c r="E4592" s="107">
        <v>259480000</v>
      </c>
      <c r="F4592" s="243">
        <v>259480000</v>
      </c>
      <c r="G4592" s="379">
        <f t="shared" ref="G4592:G4598" si="274">(F4592/E4592)*100</f>
        <v>100</v>
      </c>
      <c r="H4592" s="247">
        <v>100</v>
      </c>
      <c r="I4592" s="111"/>
    </row>
    <row r="4593" spans="1:9" s="115" customFormat="1" ht="16.5" hidden="1" customHeight="1" x14ac:dyDescent="0.25">
      <c r="A4593" s="171"/>
      <c r="B4593" s="171"/>
      <c r="C4593" s="222"/>
      <c r="D4593" s="48" t="s">
        <v>3322</v>
      </c>
      <c r="E4593" s="120">
        <f>E4594</f>
        <v>551700000</v>
      </c>
      <c r="F4593" s="332">
        <f>F4594</f>
        <v>550000000</v>
      </c>
      <c r="G4593" s="333">
        <f t="shared" si="274"/>
        <v>99.691861518941451</v>
      </c>
      <c r="H4593" s="246">
        <f>H4594</f>
        <v>100</v>
      </c>
      <c r="I4593" s="121"/>
    </row>
    <row r="4594" spans="1:9" ht="16.5" hidden="1" customHeight="1" x14ac:dyDescent="0.25">
      <c r="A4594" s="170"/>
      <c r="B4594" s="170"/>
      <c r="C4594" s="222"/>
      <c r="D4594" s="118" t="s">
        <v>3323</v>
      </c>
      <c r="E4594" s="107">
        <v>551700000</v>
      </c>
      <c r="F4594" s="243">
        <v>550000000</v>
      </c>
      <c r="G4594" s="379">
        <f t="shared" si="274"/>
        <v>99.691861518941451</v>
      </c>
      <c r="H4594" s="247">
        <v>100</v>
      </c>
      <c r="I4594" s="111"/>
    </row>
    <row r="4595" spans="1:9" s="115" customFormat="1" ht="16.5" hidden="1" customHeight="1" x14ac:dyDescent="0.25">
      <c r="A4595" s="171"/>
      <c r="B4595" s="171"/>
      <c r="C4595" s="222"/>
      <c r="D4595" s="48" t="s">
        <v>2099</v>
      </c>
      <c r="E4595" s="120">
        <f>E4596</f>
        <v>2697648000</v>
      </c>
      <c r="F4595" s="332">
        <f>F4596</f>
        <v>2640531000</v>
      </c>
      <c r="G4595" s="333">
        <f t="shared" si="274"/>
        <v>97.882711161723108</v>
      </c>
      <c r="H4595" s="246">
        <f>H4596</f>
        <v>100</v>
      </c>
      <c r="I4595" s="121"/>
    </row>
    <row r="4596" spans="1:9" ht="16.5" hidden="1" customHeight="1" x14ac:dyDescent="0.25">
      <c r="A4596" s="170"/>
      <c r="B4596" s="170"/>
      <c r="C4596" s="222"/>
      <c r="D4596" s="111" t="s">
        <v>3324</v>
      </c>
      <c r="E4596" s="107">
        <v>2697648000</v>
      </c>
      <c r="F4596" s="243">
        <v>2640531000</v>
      </c>
      <c r="G4596" s="379">
        <f t="shared" si="274"/>
        <v>97.882711161723108</v>
      </c>
      <c r="H4596" s="247">
        <v>100</v>
      </c>
      <c r="I4596" s="111"/>
    </row>
    <row r="4597" spans="1:9" s="115" customFormat="1" ht="16.5" hidden="1" customHeight="1" x14ac:dyDescent="0.25">
      <c r="A4597" s="171"/>
      <c r="B4597" s="171"/>
      <c r="C4597" s="222"/>
      <c r="D4597" s="48" t="s">
        <v>202</v>
      </c>
      <c r="E4597" s="120">
        <f>E4598</f>
        <v>494475000</v>
      </c>
      <c r="F4597" s="332">
        <f>F4598</f>
        <v>494475000</v>
      </c>
      <c r="G4597" s="333">
        <f t="shared" si="274"/>
        <v>100</v>
      </c>
      <c r="H4597" s="246">
        <f>H4598</f>
        <v>100</v>
      </c>
      <c r="I4597" s="121"/>
    </row>
    <row r="4598" spans="1:9" ht="16.5" hidden="1" customHeight="1" x14ac:dyDescent="0.25">
      <c r="A4598" s="170"/>
      <c r="B4598" s="170"/>
      <c r="C4598" s="222"/>
      <c r="D4598" s="118" t="s">
        <v>1204</v>
      </c>
      <c r="E4598" s="107">
        <v>494475000</v>
      </c>
      <c r="F4598" s="243">
        <v>494475000</v>
      </c>
      <c r="G4598" s="379">
        <f t="shared" si="274"/>
        <v>100</v>
      </c>
      <c r="H4598" s="247">
        <v>100</v>
      </c>
      <c r="I4598" s="111"/>
    </row>
    <row r="4599" spans="1:9" ht="16.5" hidden="1" customHeight="1" x14ac:dyDescent="0.25">
      <c r="A4599" s="170"/>
      <c r="B4599" s="170"/>
      <c r="C4599" s="222"/>
      <c r="D4599" s="111"/>
      <c r="E4599" s="107"/>
      <c r="F4599" s="108"/>
      <c r="G4599" s="117"/>
      <c r="H4599" s="114"/>
      <c r="I4599" s="111"/>
    </row>
    <row r="4600" spans="1:9" s="115" customFormat="1" ht="16.5" hidden="1" customHeight="1" x14ac:dyDescent="0.25">
      <c r="A4600" s="171"/>
      <c r="B4600" s="171"/>
      <c r="C4600" s="222"/>
      <c r="D4600" s="48" t="s">
        <v>3325</v>
      </c>
      <c r="E4600" s="120">
        <f>E4601+E4603</f>
        <v>23471568400</v>
      </c>
      <c r="F4600" s="242">
        <f>F4601+F4603</f>
        <v>22805625000</v>
      </c>
      <c r="G4600" s="246">
        <f>(G4601+G4603)/2</f>
        <v>98.066313717799559</v>
      </c>
      <c r="H4600" s="246">
        <f>(H4601+H4603)/2</f>
        <v>100</v>
      </c>
      <c r="I4600" s="121"/>
    </row>
    <row r="4601" spans="1:9" s="115" customFormat="1" ht="16.5" hidden="1" customHeight="1" x14ac:dyDescent="0.25">
      <c r="A4601" s="171"/>
      <c r="B4601" s="171"/>
      <c r="C4601" s="222"/>
      <c r="D4601" s="48" t="s">
        <v>3326</v>
      </c>
      <c r="E4601" s="120">
        <f>E4602</f>
        <v>5116968400</v>
      </c>
      <c r="F4601" s="332">
        <f>F4602</f>
        <v>5100000000</v>
      </c>
      <c r="G4601" s="333">
        <f>(F4601/E4601)*100</f>
        <v>99.66838958786613</v>
      </c>
      <c r="H4601" s="246">
        <f>H4602</f>
        <v>100</v>
      </c>
      <c r="I4601" s="121"/>
    </row>
    <row r="4602" spans="1:9" ht="18" hidden="1" customHeight="1" x14ac:dyDescent="0.25">
      <c r="A4602" s="170"/>
      <c r="B4602" s="170"/>
      <c r="C4602" s="222"/>
      <c r="D4602" s="118" t="s">
        <v>3327</v>
      </c>
      <c r="E4602" s="107">
        <v>5116968400</v>
      </c>
      <c r="F4602" s="243">
        <v>5100000000</v>
      </c>
      <c r="G4602" s="379">
        <f>(F4602/E4602)*100</f>
        <v>99.66838958786613</v>
      </c>
      <c r="H4602" s="247">
        <v>100</v>
      </c>
      <c r="I4602" s="111"/>
    </row>
    <row r="4603" spans="1:9" s="115" customFormat="1" ht="16.5" hidden="1" customHeight="1" x14ac:dyDescent="0.25">
      <c r="A4603" s="171"/>
      <c r="B4603" s="171"/>
      <c r="C4603" s="222"/>
      <c r="D4603" s="48" t="s">
        <v>729</v>
      </c>
      <c r="E4603" s="120">
        <f>E4604</f>
        <v>18354600000</v>
      </c>
      <c r="F4603" s="332">
        <f>F4604</f>
        <v>17705625000</v>
      </c>
      <c r="G4603" s="333">
        <f>(F4603/E4603)*100</f>
        <v>96.464237847732988</v>
      </c>
      <c r="H4603" s="246">
        <f>H4604</f>
        <v>100</v>
      </c>
      <c r="I4603" s="121"/>
    </row>
    <row r="4604" spans="1:9" ht="16.5" hidden="1" customHeight="1" x14ac:dyDescent="0.25">
      <c r="A4604" s="170"/>
      <c r="B4604" s="170"/>
      <c r="C4604" s="222"/>
      <c r="D4604" s="118" t="s">
        <v>2610</v>
      </c>
      <c r="E4604" s="107">
        <v>18354600000</v>
      </c>
      <c r="F4604" s="243">
        <v>17705625000</v>
      </c>
      <c r="G4604" s="379">
        <f>(F4604/E4604)*100</f>
        <v>96.464237847732988</v>
      </c>
      <c r="H4604" s="334">
        <v>100</v>
      </c>
      <c r="I4604" s="111"/>
    </row>
    <row r="4605" spans="1:9" ht="16.5" hidden="1" customHeight="1" x14ac:dyDescent="0.25">
      <c r="A4605" s="170"/>
      <c r="B4605" s="170"/>
      <c r="C4605" s="222"/>
      <c r="D4605" s="111"/>
      <c r="E4605" s="107"/>
      <c r="F4605" s="243"/>
      <c r="G4605" s="379"/>
      <c r="H4605" s="247"/>
      <c r="I4605" s="111"/>
    </row>
    <row r="4606" spans="1:9" s="115" customFormat="1" ht="16.5" hidden="1" customHeight="1" x14ac:dyDescent="0.25">
      <c r="A4606" s="171"/>
      <c r="B4606" s="171"/>
      <c r="C4606" s="222"/>
      <c r="D4606" s="48" t="s">
        <v>630</v>
      </c>
      <c r="E4606" s="120">
        <f>E4607+E4609+E4611</f>
        <v>1294020000</v>
      </c>
      <c r="F4606" s="242">
        <f>F4607+F4609+F4611</f>
        <v>1294020000</v>
      </c>
      <c r="G4606" s="246">
        <f>(G4607+G4609+G4611)/3</f>
        <v>100</v>
      </c>
      <c r="H4606" s="246">
        <f>(H4607+H4609+H4611)/3</f>
        <v>100</v>
      </c>
      <c r="I4606" s="121"/>
    </row>
    <row r="4607" spans="1:9" s="115" customFormat="1" ht="16.5" hidden="1" customHeight="1" x14ac:dyDescent="0.25">
      <c r="A4607" s="171"/>
      <c r="B4607" s="171"/>
      <c r="C4607" s="222"/>
      <c r="D4607" s="48" t="s">
        <v>954</v>
      </c>
      <c r="E4607" s="120">
        <f>E4608</f>
        <v>584520000</v>
      </c>
      <c r="F4607" s="332">
        <f>F4608</f>
        <v>584520000</v>
      </c>
      <c r="G4607" s="333">
        <f t="shared" ref="G4607:G4612" si="275">(F4607/E4607)*100</f>
        <v>100</v>
      </c>
      <c r="H4607" s="246">
        <f>H4608</f>
        <v>100</v>
      </c>
      <c r="I4607" s="121"/>
    </row>
    <row r="4608" spans="1:9" ht="16.5" hidden="1" customHeight="1" x14ac:dyDescent="0.25">
      <c r="A4608" s="170"/>
      <c r="B4608" s="170"/>
      <c r="C4608" s="222"/>
      <c r="D4608" s="111" t="s">
        <v>3328</v>
      </c>
      <c r="E4608" s="107">
        <v>584520000</v>
      </c>
      <c r="F4608" s="243">
        <v>584520000</v>
      </c>
      <c r="G4608" s="379">
        <f t="shared" si="275"/>
        <v>100</v>
      </c>
      <c r="H4608" s="247">
        <v>100</v>
      </c>
      <c r="I4608" s="111"/>
    </row>
    <row r="4609" spans="1:9" s="115" customFormat="1" ht="16.5" hidden="1" customHeight="1" x14ac:dyDescent="0.25">
      <c r="A4609" s="171"/>
      <c r="B4609" s="171"/>
      <c r="C4609" s="222"/>
      <c r="D4609" s="48" t="s">
        <v>954</v>
      </c>
      <c r="E4609" s="120">
        <f>E4610</f>
        <v>200000000</v>
      </c>
      <c r="F4609" s="332">
        <f>F4610</f>
        <v>200000000</v>
      </c>
      <c r="G4609" s="333">
        <f t="shared" si="275"/>
        <v>100</v>
      </c>
      <c r="H4609" s="246">
        <f>H4610</f>
        <v>100</v>
      </c>
      <c r="I4609" s="121"/>
    </row>
    <row r="4610" spans="1:9" ht="16.5" hidden="1" customHeight="1" x14ac:dyDescent="0.25">
      <c r="A4610" s="170"/>
      <c r="B4610" s="170"/>
      <c r="C4610" s="222"/>
      <c r="D4610" s="111" t="s">
        <v>3329</v>
      </c>
      <c r="E4610" s="107">
        <v>200000000</v>
      </c>
      <c r="F4610" s="243">
        <v>200000000</v>
      </c>
      <c r="G4610" s="379">
        <f t="shared" si="275"/>
        <v>100</v>
      </c>
      <c r="H4610" s="334">
        <v>100</v>
      </c>
      <c r="I4610" s="111"/>
    </row>
    <row r="4611" spans="1:9" s="115" customFormat="1" ht="16.5" hidden="1" customHeight="1" x14ac:dyDescent="0.25">
      <c r="A4611" s="171"/>
      <c r="B4611" s="171"/>
      <c r="C4611" s="222"/>
      <c r="D4611" s="48" t="s">
        <v>954</v>
      </c>
      <c r="E4611" s="120">
        <f>E4612</f>
        <v>509500000</v>
      </c>
      <c r="F4611" s="332">
        <f>F4612</f>
        <v>509500000</v>
      </c>
      <c r="G4611" s="333">
        <f t="shared" si="275"/>
        <v>100</v>
      </c>
      <c r="H4611" s="246">
        <f>H4612</f>
        <v>100</v>
      </c>
      <c r="I4611" s="121"/>
    </row>
    <row r="4612" spans="1:9" ht="16.5" hidden="1" customHeight="1" x14ac:dyDescent="0.25">
      <c r="A4612" s="170"/>
      <c r="B4612" s="170"/>
      <c r="C4612" s="222"/>
      <c r="D4612" s="111" t="s">
        <v>3329</v>
      </c>
      <c r="E4612" s="107">
        <v>509500000</v>
      </c>
      <c r="F4612" s="243">
        <v>509500000</v>
      </c>
      <c r="G4612" s="379">
        <f t="shared" si="275"/>
        <v>100</v>
      </c>
      <c r="H4612" s="334">
        <v>100</v>
      </c>
      <c r="I4612" s="111"/>
    </row>
    <row r="4613" spans="1:9" ht="16.5" hidden="1" customHeight="1" x14ac:dyDescent="0.25">
      <c r="A4613" s="170"/>
      <c r="B4613" s="170"/>
      <c r="C4613" s="222"/>
      <c r="D4613" s="111"/>
      <c r="E4613" s="107"/>
      <c r="F4613" s="243"/>
      <c r="G4613" s="379"/>
      <c r="H4613" s="334"/>
      <c r="I4613" s="111"/>
    </row>
    <row r="4614" spans="1:9" s="115" customFormat="1" ht="16.5" hidden="1" customHeight="1" x14ac:dyDescent="0.25">
      <c r="A4614" s="171"/>
      <c r="B4614" s="171"/>
      <c r="C4614" s="222"/>
      <c r="D4614" s="48" t="s">
        <v>1265</v>
      </c>
      <c r="E4614" s="120">
        <f>E4615</f>
        <v>1100000000</v>
      </c>
      <c r="F4614" s="242">
        <f>F4615</f>
        <v>1075700000</v>
      </c>
      <c r="G4614" s="246">
        <f>G4615</f>
        <v>97.790909090909096</v>
      </c>
      <c r="H4614" s="246">
        <f>H4615</f>
        <v>100</v>
      </c>
      <c r="I4614" s="121"/>
    </row>
    <row r="4615" spans="1:9" s="115" customFormat="1" ht="16.5" hidden="1" customHeight="1" x14ac:dyDescent="0.25">
      <c r="A4615" s="171"/>
      <c r="B4615" s="171"/>
      <c r="C4615" s="222"/>
      <c r="D4615" s="48" t="s">
        <v>2907</v>
      </c>
      <c r="E4615" s="120">
        <f>E4616+E4617</f>
        <v>1100000000</v>
      </c>
      <c r="F4615" s="332">
        <f>F4616+F4617</f>
        <v>1075700000</v>
      </c>
      <c r="G4615" s="333">
        <f>(F4615/E4615)*100</f>
        <v>97.790909090909096</v>
      </c>
      <c r="H4615" s="246">
        <f>(H4616+H4617)/2</f>
        <v>100</v>
      </c>
      <c r="I4615" s="121"/>
    </row>
    <row r="4616" spans="1:9" ht="16.5" hidden="1" customHeight="1" x14ac:dyDescent="0.25">
      <c r="A4616" s="170"/>
      <c r="B4616" s="170"/>
      <c r="C4616" s="222"/>
      <c r="D4616" s="111" t="s">
        <v>3330</v>
      </c>
      <c r="E4616" s="107">
        <v>399000000</v>
      </c>
      <c r="F4616" s="243">
        <v>399000000</v>
      </c>
      <c r="G4616" s="379">
        <f>(F4616/E4616)*100</f>
        <v>100</v>
      </c>
      <c r="H4616" s="334">
        <v>100</v>
      </c>
      <c r="I4616" s="111"/>
    </row>
    <row r="4617" spans="1:9" ht="16.5" hidden="1" customHeight="1" x14ac:dyDescent="0.25">
      <c r="A4617" s="170"/>
      <c r="B4617" s="170"/>
      <c r="C4617" s="222"/>
      <c r="D4617" s="111" t="s">
        <v>3331</v>
      </c>
      <c r="E4617" s="107">
        <v>701000000</v>
      </c>
      <c r="F4617" s="243">
        <v>676700000</v>
      </c>
      <c r="G4617" s="379">
        <f>(F4617/E4617)*100</f>
        <v>96.533523537803134</v>
      </c>
      <c r="H4617" s="334">
        <v>100</v>
      </c>
      <c r="I4617" s="111"/>
    </row>
    <row r="4618" spans="1:9" ht="16.5" hidden="1" customHeight="1" x14ac:dyDescent="0.25">
      <c r="A4618" s="170"/>
      <c r="B4618" s="170"/>
      <c r="C4618" s="222"/>
      <c r="D4618" s="111"/>
      <c r="E4618" s="107"/>
      <c r="F4618" s="243"/>
      <c r="G4618" s="379"/>
      <c r="H4618" s="247"/>
      <c r="I4618" s="111"/>
    </row>
    <row r="4619" spans="1:9" s="115" customFormat="1" ht="16.5" hidden="1" customHeight="1" x14ac:dyDescent="0.25">
      <c r="A4619" s="171"/>
      <c r="B4619" s="171"/>
      <c r="C4619" s="222"/>
      <c r="D4619" s="48" t="s">
        <v>3332</v>
      </c>
      <c r="E4619" s="120">
        <f>E4620</f>
        <v>300000000</v>
      </c>
      <c r="F4619" s="242">
        <f>F4620</f>
        <v>300000000</v>
      </c>
      <c r="G4619" s="246">
        <f>G4620</f>
        <v>100</v>
      </c>
      <c r="H4619" s="246">
        <f>H4620</f>
        <v>100</v>
      </c>
      <c r="I4619" s="121"/>
    </row>
    <row r="4620" spans="1:9" s="115" customFormat="1" ht="16.5" hidden="1" customHeight="1" x14ac:dyDescent="0.25">
      <c r="A4620" s="171"/>
      <c r="B4620" s="171"/>
      <c r="C4620" s="222"/>
      <c r="D4620" s="48" t="s">
        <v>3333</v>
      </c>
      <c r="E4620" s="120">
        <f>SUM(E4621:E4621)</f>
        <v>300000000</v>
      </c>
      <c r="F4620" s="332">
        <f>SUM(F4621:F4621)</f>
        <v>300000000</v>
      </c>
      <c r="G4620" s="333">
        <f>(F4620/E4620)*100</f>
        <v>100</v>
      </c>
      <c r="H4620" s="246">
        <f>H4621</f>
        <v>100</v>
      </c>
      <c r="I4620" s="121"/>
    </row>
    <row r="4621" spans="1:9" ht="16.5" hidden="1" customHeight="1" x14ac:dyDescent="0.25">
      <c r="A4621" s="170"/>
      <c r="B4621" s="170"/>
      <c r="C4621" s="222"/>
      <c r="D4621" s="118" t="s">
        <v>2754</v>
      </c>
      <c r="E4621" s="107">
        <v>300000000</v>
      </c>
      <c r="F4621" s="243">
        <v>300000000</v>
      </c>
      <c r="G4621" s="379">
        <f>(F4621/E4621)*100</f>
        <v>100</v>
      </c>
      <c r="H4621" s="247">
        <v>100</v>
      </c>
      <c r="I4621" s="111"/>
    </row>
    <row r="4622" spans="1:9" ht="16.5" hidden="1" customHeight="1" x14ac:dyDescent="0.25">
      <c r="A4622" s="170"/>
      <c r="B4622" s="170"/>
      <c r="C4622" s="222"/>
      <c r="D4622" s="111"/>
      <c r="E4622" s="107"/>
      <c r="F4622" s="243"/>
      <c r="G4622" s="379"/>
      <c r="H4622" s="247"/>
      <c r="I4622" s="111"/>
    </row>
    <row r="4623" spans="1:9" s="115" customFormat="1" ht="16.5" hidden="1" customHeight="1" x14ac:dyDescent="0.25">
      <c r="A4623" s="171"/>
      <c r="B4623" s="171"/>
      <c r="C4623" s="222"/>
      <c r="D4623" s="48" t="s">
        <v>964</v>
      </c>
      <c r="E4623" s="120">
        <f>E4624</f>
        <v>6166397100</v>
      </c>
      <c r="F4623" s="242">
        <f>F4624</f>
        <v>6065250000</v>
      </c>
      <c r="G4623" s="336">
        <f>G4624</f>
        <v>98.359705053701447</v>
      </c>
      <c r="H4623" s="336">
        <f>H4624</f>
        <v>100</v>
      </c>
      <c r="I4623" s="121"/>
    </row>
    <row r="4624" spans="1:9" s="115" customFormat="1" ht="16.5" hidden="1" customHeight="1" x14ac:dyDescent="0.25">
      <c r="A4624" s="171"/>
      <c r="B4624" s="171"/>
      <c r="C4624" s="222"/>
      <c r="D4624" s="48" t="s">
        <v>1831</v>
      </c>
      <c r="E4624" s="120">
        <f>E4625</f>
        <v>6166397100</v>
      </c>
      <c r="F4624" s="332">
        <f>F4625</f>
        <v>6065250000</v>
      </c>
      <c r="G4624" s="333">
        <f>(F4624/E4624)*100</f>
        <v>98.359705053701447</v>
      </c>
      <c r="H4624" s="246">
        <f>H4625</f>
        <v>100</v>
      </c>
      <c r="I4624" s="121"/>
    </row>
    <row r="4625" spans="1:9" ht="16.5" hidden="1" customHeight="1" x14ac:dyDescent="0.25">
      <c r="A4625" s="170"/>
      <c r="B4625" s="170"/>
      <c r="C4625" s="222"/>
      <c r="D4625" s="111" t="s">
        <v>3334</v>
      </c>
      <c r="E4625" s="107">
        <v>6166397100</v>
      </c>
      <c r="F4625" s="243">
        <v>6065250000</v>
      </c>
      <c r="G4625" s="379">
        <f>(F4625/E4625)*100</f>
        <v>98.359705053701447</v>
      </c>
      <c r="H4625" s="247">
        <v>100</v>
      </c>
      <c r="I4625" s="111"/>
    </row>
    <row r="4626" spans="1:9" ht="16.5" hidden="1" customHeight="1" x14ac:dyDescent="0.25">
      <c r="A4626" s="170"/>
      <c r="B4626" s="170"/>
      <c r="C4626" s="222"/>
      <c r="D4626" s="111"/>
      <c r="E4626" s="107"/>
      <c r="F4626" s="243"/>
      <c r="G4626" s="379"/>
      <c r="H4626" s="247"/>
      <c r="I4626" s="111"/>
    </row>
    <row r="4627" spans="1:9" s="115" customFormat="1" ht="16.5" hidden="1" customHeight="1" x14ac:dyDescent="0.25">
      <c r="A4627" s="171"/>
      <c r="B4627" s="171"/>
      <c r="C4627" s="222"/>
      <c r="D4627" s="48" t="s">
        <v>3335</v>
      </c>
      <c r="E4627" s="120">
        <f>(E4628+E4630+E4634+E4636+E4638+E4641+E4644+E4648)</f>
        <v>10272449280</v>
      </c>
      <c r="F4627" s="242">
        <f>(F4628+F4630+F4634+F4636+F4638+F4641+F4644+F4648)</f>
        <v>9770635000</v>
      </c>
      <c r="G4627" s="336">
        <f>(G4628+G4630+G4634+G4636+G4638+G4641+G4644+G4648)/8</f>
        <v>96.701120718592051</v>
      </c>
      <c r="H4627" s="336">
        <f>(H4628+H4630+H4634+H4636+H4638+H4641+H4644+H4648)/8</f>
        <v>100</v>
      </c>
      <c r="I4627" s="121"/>
    </row>
    <row r="4628" spans="1:9" s="115" customFormat="1" ht="16.5" hidden="1" customHeight="1" x14ac:dyDescent="0.25">
      <c r="A4628" s="171"/>
      <c r="B4628" s="171"/>
      <c r="C4628" s="222"/>
      <c r="D4628" s="48" t="s">
        <v>486</v>
      </c>
      <c r="E4628" s="120">
        <f>E4629</f>
        <v>400000000</v>
      </c>
      <c r="F4628" s="332">
        <f>F4629</f>
        <v>400000000</v>
      </c>
      <c r="G4628" s="333">
        <f t="shared" ref="G4628:G4651" si="276">(F4628/E4628)*100</f>
        <v>100</v>
      </c>
      <c r="H4628" s="246">
        <f>H4629</f>
        <v>100</v>
      </c>
      <c r="I4628" s="121"/>
    </row>
    <row r="4629" spans="1:9" ht="16.5" hidden="1" customHeight="1" x14ac:dyDescent="0.25">
      <c r="A4629" s="170"/>
      <c r="B4629" s="170"/>
      <c r="C4629" s="222"/>
      <c r="D4629" s="111" t="s">
        <v>3336</v>
      </c>
      <c r="E4629" s="107">
        <v>400000000</v>
      </c>
      <c r="F4629" s="243">
        <v>400000000</v>
      </c>
      <c r="G4629" s="379">
        <f t="shared" si="276"/>
        <v>100</v>
      </c>
      <c r="H4629" s="247">
        <v>100</v>
      </c>
      <c r="I4629" s="111"/>
    </row>
    <row r="4630" spans="1:9" s="115" customFormat="1" ht="16.5" hidden="1" customHeight="1" x14ac:dyDescent="0.25">
      <c r="A4630" s="171"/>
      <c r="B4630" s="171"/>
      <c r="C4630" s="222"/>
      <c r="D4630" s="48" t="s">
        <v>3337</v>
      </c>
      <c r="E4630" s="120">
        <f>(E4631+E4632+E4633)</f>
        <v>1080000000</v>
      </c>
      <c r="F4630" s="332">
        <f>(F4631+F4632+F4633)</f>
        <v>1079000000</v>
      </c>
      <c r="G4630" s="333">
        <f t="shared" si="276"/>
        <v>99.907407407407405</v>
      </c>
      <c r="H4630" s="246">
        <f>(H4631+H4632+H4633)/3</f>
        <v>100</v>
      </c>
      <c r="I4630" s="121"/>
    </row>
    <row r="4631" spans="1:9" ht="16.5" hidden="1" customHeight="1" x14ac:dyDescent="0.25">
      <c r="A4631" s="170"/>
      <c r="B4631" s="170"/>
      <c r="C4631" s="222"/>
      <c r="D4631" s="111" t="s">
        <v>1077</v>
      </c>
      <c r="E4631" s="107">
        <v>500000000</v>
      </c>
      <c r="F4631" s="243">
        <v>499000000</v>
      </c>
      <c r="G4631" s="379">
        <f t="shared" si="276"/>
        <v>99.8</v>
      </c>
      <c r="H4631" s="334">
        <v>100</v>
      </c>
      <c r="I4631" s="111"/>
    </row>
    <row r="4632" spans="1:9" ht="16.5" hidden="1" customHeight="1" x14ac:dyDescent="0.25">
      <c r="A4632" s="170"/>
      <c r="B4632" s="170"/>
      <c r="C4632" s="222"/>
      <c r="D4632" s="111" t="s">
        <v>3338</v>
      </c>
      <c r="E4632" s="107">
        <v>400000000</v>
      </c>
      <c r="F4632" s="243">
        <v>400000000</v>
      </c>
      <c r="G4632" s="379">
        <f t="shared" si="276"/>
        <v>100</v>
      </c>
      <c r="H4632" s="334">
        <v>100</v>
      </c>
      <c r="I4632" s="111"/>
    </row>
    <row r="4633" spans="1:9" ht="16.5" hidden="1" customHeight="1" x14ac:dyDescent="0.25">
      <c r="A4633" s="170"/>
      <c r="B4633" s="170"/>
      <c r="C4633" s="222"/>
      <c r="D4633" s="111" t="s">
        <v>1064</v>
      </c>
      <c r="E4633" s="107">
        <v>180000000</v>
      </c>
      <c r="F4633" s="243">
        <v>180000000</v>
      </c>
      <c r="G4633" s="379">
        <f t="shared" si="276"/>
        <v>100</v>
      </c>
      <c r="H4633" s="247">
        <v>100</v>
      </c>
      <c r="I4633" s="111"/>
    </row>
    <row r="4634" spans="1:9" s="115" customFormat="1" ht="16.5" hidden="1" customHeight="1" x14ac:dyDescent="0.25">
      <c r="A4634" s="171"/>
      <c r="B4634" s="171"/>
      <c r="C4634" s="222"/>
      <c r="D4634" s="48" t="s">
        <v>3339</v>
      </c>
      <c r="E4634" s="120">
        <f>E4635</f>
        <v>670000000</v>
      </c>
      <c r="F4634" s="332">
        <f>F4635</f>
        <v>620000000</v>
      </c>
      <c r="G4634" s="333">
        <f t="shared" si="276"/>
        <v>92.537313432835816</v>
      </c>
      <c r="H4634" s="246">
        <f>H4635</f>
        <v>100</v>
      </c>
      <c r="I4634" s="121"/>
    </row>
    <row r="4635" spans="1:9" ht="27" hidden="1" customHeight="1" x14ac:dyDescent="0.25">
      <c r="A4635" s="170"/>
      <c r="B4635" s="170"/>
      <c r="C4635" s="222"/>
      <c r="D4635" s="118" t="s">
        <v>3340</v>
      </c>
      <c r="E4635" s="107">
        <v>670000000</v>
      </c>
      <c r="F4635" s="243">
        <v>620000000</v>
      </c>
      <c r="G4635" s="379">
        <f t="shared" si="276"/>
        <v>92.537313432835816</v>
      </c>
      <c r="H4635" s="334">
        <v>100</v>
      </c>
      <c r="I4635" s="111"/>
    </row>
    <row r="4636" spans="1:9" s="115" customFormat="1" ht="16.5" hidden="1" customHeight="1" x14ac:dyDescent="0.25">
      <c r="A4636" s="171"/>
      <c r="B4636" s="171"/>
      <c r="C4636" s="222"/>
      <c r="D4636" s="48" t="s">
        <v>3341</v>
      </c>
      <c r="E4636" s="120">
        <f>E4637</f>
        <v>400000000</v>
      </c>
      <c r="F4636" s="332">
        <f>F4637</f>
        <v>400000000</v>
      </c>
      <c r="G4636" s="333">
        <f t="shared" si="276"/>
        <v>100</v>
      </c>
      <c r="H4636" s="246">
        <f>H4637</f>
        <v>100</v>
      </c>
      <c r="I4636" s="121"/>
    </row>
    <row r="4637" spans="1:9" ht="18.75" hidden="1" customHeight="1" x14ac:dyDescent="0.25">
      <c r="A4637" s="170"/>
      <c r="B4637" s="170"/>
      <c r="C4637" s="222"/>
      <c r="D4637" s="118" t="s">
        <v>3342</v>
      </c>
      <c r="E4637" s="107">
        <v>400000000</v>
      </c>
      <c r="F4637" s="243">
        <v>400000000</v>
      </c>
      <c r="G4637" s="379">
        <f t="shared" si="276"/>
        <v>100</v>
      </c>
      <c r="H4637" s="334">
        <v>100</v>
      </c>
      <c r="I4637" s="111"/>
    </row>
    <row r="4638" spans="1:9" s="115" customFormat="1" ht="16.5" hidden="1" customHeight="1" x14ac:dyDescent="0.25">
      <c r="A4638" s="171"/>
      <c r="B4638" s="171"/>
      <c r="C4638" s="222"/>
      <c r="D4638" s="48" t="s">
        <v>3343</v>
      </c>
      <c r="E4638" s="120">
        <f>E4639+E4640</f>
        <v>700000000</v>
      </c>
      <c r="F4638" s="332">
        <f>F4639+F4640</f>
        <v>699685000</v>
      </c>
      <c r="G4638" s="333">
        <f t="shared" si="276"/>
        <v>99.954999999999998</v>
      </c>
      <c r="H4638" s="246">
        <f>(H4639+H4640)/2</f>
        <v>100</v>
      </c>
      <c r="I4638" s="121"/>
    </row>
    <row r="4639" spans="1:9" ht="16.5" hidden="1" customHeight="1" x14ac:dyDescent="0.25">
      <c r="A4639" s="170"/>
      <c r="B4639" s="170"/>
      <c r="C4639" s="222"/>
      <c r="D4639" s="111" t="s">
        <v>3344</v>
      </c>
      <c r="E4639" s="107">
        <v>400000000</v>
      </c>
      <c r="F4639" s="243">
        <v>399990000</v>
      </c>
      <c r="G4639" s="379">
        <f t="shared" si="276"/>
        <v>99.997499999999988</v>
      </c>
      <c r="H4639" s="247">
        <v>100</v>
      </c>
      <c r="I4639" s="111"/>
    </row>
    <row r="4640" spans="1:9" ht="16.5" hidden="1" customHeight="1" x14ac:dyDescent="0.25">
      <c r="A4640" s="170"/>
      <c r="B4640" s="170"/>
      <c r="C4640" s="222"/>
      <c r="D4640" s="111" t="s">
        <v>3345</v>
      </c>
      <c r="E4640" s="107">
        <v>300000000</v>
      </c>
      <c r="F4640" s="243">
        <v>299695000</v>
      </c>
      <c r="G4640" s="379">
        <f t="shared" si="276"/>
        <v>99.898333333333341</v>
      </c>
      <c r="H4640" s="247">
        <v>100</v>
      </c>
      <c r="I4640" s="111"/>
    </row>
    <row r="4641" spans="1:9" s="115" customFormat="1" ht="16.5" hidden="1" customHeight="1" x14ac:dyDescent="0.25">
      <c r="A4641" s="171"/>
      <c r="B4641" s="171"/>
      <c r="C4641" s="222"/>
      <c r="D4641" s="48" t="s">
        <v>758</v>
      </c>
      <c r="E4641" s="120">
        <f>E4642+E4643</f>
        <v>1472449280</v>
      </c>
      <c r="F4641" s="332">
        <f>F4642+F4643</f>
        <v>1397000000</v>
      </c>
      <c r="G4641" s="333">
        <f t="shared" si="276"/>
        <v>94.875933519421466</v>
      </c>
      <c r="H4641" s="246">
        <f>(H4642+H4643)/2</f>
        <v>100</v>
      </c>
      <c r="I4641" s="121"/>
    </row>
    <row r="4642" spans="1:9" ht="16.5" hidden="1" customHeight="1" x14ac:dyDescent="0.25">
      <c r="A4642" s="170"/>
      <c r="B4642" s="170"/>
      <c r="C4642" s="222"/>
      <c r="D4642" s="111" t="s">
        <v>3346</v>
      </c>
      <c r="E4642" s="107">
        <v>422449280</v>
      </c>
      <c r="F4642" s="243">
        <v>420000000</v>
      </c>
      <c r="G4642" s="379">
        <f t="shared" si="276"/>
        <v>99.420219156249956</v>
      </c>
      <c r="H4642" s="247">
        <v>100</v>
      </c>
      <c r="I4642" s="111"/>
    </row>
    <row r="4643" spans="1:9" ht="16.5" hidden="1" customHeight="1" x14ac:dyDescent="0.25">
      <c r="A4643" s="170"/>
      <c r="B4643" s="170"/>
      <c r="C4643" s="222"/>
      <c r="D4643" s="111" t="s">
        <v>1070</v>
      </c>
      <c r="E4643" s="107">
        <v>1050000000</v>
      </c>
      <c r="F4643" s="243">
        <v>977000000</v>
      </c>
      <c r="G4643" s="379">
        <f t="shared" si="276"/>
        <v>93.047619047619051</v>
      </c>
      <c r="H4643" s="247">
        <v>100</v>
      </c>
      <c r="I4643" s="111"/>
    </row>
    <row r="4644" spans="1:9" s="115" customFormat="1" ht="16.5" hidden="1" customHeight="1" x14ac:dyDescent="0.25">
      <c r="A4644" s="171"/>
      <c r="B4644" s="171"/>
      <c r="C4644" s="222"/>
      <c r="D4644" s="48" t="s">
        <v>1652</v>
      </c>
      <c r="E4644" s="120">
        <f>(E4645+E4646+E4647)</f>
        <v>2450000000</v>
      </c>
      <c r="F4644" s="332">
        <f>(F4645+F4646+F4647)</f>
        <v>2266750000</v>
      </c>
      <c r="G4644" s="333">
        <f t="shared" si="276"/>
        <v>92.520408163265316</v>
      </c>
      <c r="H4644" s="246">
        <f>(H4645+H4646+H4647)/3</f>
        <v>100</v>
      </c>
      <c r="I4644" s="121"/>
    </row>
    <row r="4645" spans="1:9" ht="16.5" hidden="1" customHeight="1" x14ac:dyDescent="0.25">
      <c r="A4645" s="170"/>
      <c r="B4645" s="170"/>
      <c r="C4645" s="222"/>
      <c r="D4645" s="111" t="s">
        <v>501</v>
      </c>
      <c r="E4645" s="107">
        <v>1500000000</v>
      </c>
      <c r="F4645" s="243">
        <v>1328750000</v>
      </c>
      <c r="G4645" s="379">
        <f t="shared" si="276"/>
        <v>88.583333333333343</v>
      </c>
      <c r="H4645" s="247">
        <v>100</v>
      </c>
      <c r="I4645" s="111"/>
    </row>
    <row r="4646" spans="1:9" ht="16.5" hidden="1" customHeight="1" x14ac:dyDescent="0.25">
      <c r="A4646" s="170"/>
      <c r="B4646" s="170"/>
      <c r="C4646" s="222"/>
      <c r="D4646" s="111" t="s">
        <v>3347</v>
      </c>
      <c r="E4646" s="107">
        <v>300000000</v>
      </c>
      <c r="F4646" s="243">
        <v>299500000</v>
      </c>
      <c r="G4646" s="379">
        <f t="shared" si="276"/>
        <v>99.833333333333329</v>
      </c>
      <c r="H4646" s="247">
        <v>100</v>
      </c>
      <c r="I4646" s="111"/>
    </row>
    <row r="4647" spans="1:9" ht="16.5" hidden="1" customHeight="1" x14ac:dyDescent="0.25">
      <c r="A4647" s="170"/>
      <c r="B4647" s="170"/>
      <c r="C4647" s="222"/>
      <c r="D4647" s="118" t="s">
        <v>3348</v>
      </c>
      <c r="E4647" s="107">
        <v>650000000</v>
      </c>
      <c r="F4647" s="243">
        <v>638500000</v>
      </c>
      <c r="G4647" s="379">
        <f t="shared" si="276"/>
        <v>98.230769230769226</v>
      </c>
      <c r="H4647" s="334">
        <v>100</v>
      </c>
      <c r="I4647" s="111"/>
    </row>
    <row r="4648" spans="1:9" s="115" customFormat="1" ht="16.5" hidden="1" customHeight="1" x14ac:dyDescent="0.25">
      <c r="A4648" s="171"/>
      <c r="B4648" s="171"/>
      <c r="C4648" s="222"/>
      <c r="D4648" s="48" t="s">
        <v>776</v>
      </c>
      <c r="E4648" s="120">
        <f>SUM(E4649:E4651)</f>
        <v>3100000000</v>
      </c>
      <c r="F4648" s="332">
        <f>SUM(F4649:F4651)</f>
        <v>2908200000</v>
      </c>
      <c r="G4648" s="333">
        <f t="shared" si="276"/>
        <v>93.812903225806451</v>
      </c>
      <c r="H4648" s="246">
        <f>(H4649+H4650+H4651)/3</f>
        <v>100</v>
      </c>
      <c r="I4648" s="121"/>
    </row>
    <row r="4649" spans="1:9" ht="16.5" hidden="1" customHeight="1" x14ac:dyDescent="0.25">
      <c r="A4649" s="170"/>
      <c r="B4649" s="170"/>
      <c r="C4649" s="222"/>
      <c r="D4649" s="118" t="s">
        <v>2782</v>
      </c>
      <c r="E4649" s="107">
        <v>400000000</v>
      </c>
      <c r="F4649" s="243">
        <v>400000000</v>
      </c>
      <c r="G4649" s="379">
        <f t="shared" si="276"/>
        <v>100</v>
      </c>
      <c r="H4649" s="247">
        <v>100</v>
      </c>
      <c r="I4649" s="111"/>
    </row>
    <row r="4650" spans="1:9" ht="16.5" hidden="1" customHeight="1" x14ac:dyDescent="0.25">
      <c r="A4650" s="170"/>
      <c r="B4650" s="170"/>
      <c r="C4650" s="222"/>
      <c r="D4650" s="118" t="s">
        <v>3349</v>
      </c>
      <c r="E4650" s="107">
        <v>500000000</v>
      </c>
      <c r="F4650" s="243">
        <v>500000000</v>
      </c>
      <c r="G4650" s="379">
        <f t="shared" si="276"/>
        <v>100</v>
      </c>
      <c r="H4650" s="247">
        <v>100</v>
      </c>
      <c r="I4650" s="111"/>
    </row>
    <row r="4651" spans="1:9" ht="16.5" hidden="1" customHeight="1" x14ac:dyDescent="0.25">
      <c r="A4651" s="170"/>
      <c r="B4651" s="170"/>
      <c r="C4651" s="222"/>
      <c r="D4651" s="118" t="s">
        <v>3350</v>
      </c>
      <c r="E4651" s="107">
        <v>2200000000</v>
      </c>
      <c r="F4651" s="243">
        <v>2008200000</v>
      </c>
      <c r="G4651" s="379">
        <f t="shared" si="276"/>
        <v>91.281818181818181</v>
      </c>
      <c r="H4651" s="334">
        <v>100</v>
      </c>
      <c r="I4651" s="111"/>
    </row>
    <row r="4652" spans="1:9" ht="16.5" hidden="1" customHeight="1" x14ac:dyDescent="0.25">
      <c r="A4652" s="170"/>
      <c r="B4652" s="170"/>
      <c r="C4652" s="222"/>
      <c r="D4652" s="111"/>
      <c r="E4652" s="107"/>
      <c r="F4652" s="243"/>
      <c r="G4652" s="379"/>
      <c r="H4652" s="334"/>
      <c r="I4652" s="111"/>
    </row>
    <row r="4653" spans="1:9" s="115" customFormat="1" ht="16.5" hidden="1" customHeight="1" x14ac:dyDescent="0.25">
      <c r="A4653" s="171"/>
      <c r="B4653" s="171"/>
      <c r="C4653" s="222"/>
      <c r="D4653" s="48" t="s">
        <v>765</v>
      </c>
      <c r="E4653" s="120">
        <f>(E4654+E4658+E4660)</f>
        <v>7490871970</v>
      </c>
      <c r="F4653" s="242">
        <f>(F4654+F4658+F4660)</f>
        <v>6429223000</v>
      </c>
      <c r="G4653" s="336">
        <f>(G4654+G4658+G4660)/3</f>
        <v>90.748822725127766</v>
      </c>
      <c r="H4653" s="336">
        <f>(H4654+H4658+H4660)/3</f>
        <v>93.666666666666671</v>
      </c>
      <c r="I4653" s="121"/>
    </row>
    <row r="4654" spans="1:9" s="115" customFormat="1" ht="16.5" hidden="1" customHeight="1" x14ac:dyDescent="0.25">
      <c r="A4654" s="171"/>
      <c r="B4654" s="171"/>
      <c r="C4654" s="222"/>
      <c r="D4654" s="48" t="s">
        <v>2677</v>
      </c>
      <c r="E4654" s="120">
        <f>E4655+E4656+E4657</f>
        <v>5007871970</v>
      </c>
      <c r="F4654" s="332">
        <f>F4655+F4656+F4657</f>
        <v>4074723000</v>
      </c>
      <c r="G4654" s="333">
        <f t="shared" ref="G4654:G4661" si="277">(F4654/E4654)*100</f>
        <v>81.366357295272465</v>
      </c>
      <c r="H4654" s="246">
        <v>81</v>
      </c>
      <c r="I4654" s="121"/>
    </row>
    <row r="4655" spans="1:9" ht="16.5" hidden="1" customHeight="1" x14ac:dyDescent="0.25">
      <c r="A4655" s="170"/>
      <c r="B4655" s="170"/>
      <c r="C4655" s="222"/>
      <c r="D4655" s="111" t="s">
        <v>3351</v>
      </c>
      <c r="E4655" s="107">
        <v>837207720</v>
      </c>
      <c r="F4655" s="243">
        <v>824468000</v>
      </c>
      <c r="G4655" s="379">
        <f t="shared" si="277"/>
        <v>98.478308346224992</v>
      </c>
      <c r="H4655" s="334">
        <v>100</v>
      </c>
      <c r="I4655" s="111"/>
    </row>
    <row r="4656" spans="1:9" ht="16.5" hidden="1" customHeight="1" x14ac:dyDescent="0.25">
      <c r="A4656" s="170"/>
      <c r="B4656" s="170"/>
      <c r="C4656" s="222"/>
      <c r="D4656" s="111" t="s">
        <v>3352</v>
      </c>
      <c r="E4656" s="107">
        <v>780000000</v>
      </c>
      <c r="F4656" s="243">
        <v>0</v>
      </c>
      <c r="G4656" s="379">
        <f t="shared" si="277"/>
        <v>0</v>
      </c>
      <c r="H4656" s="334">
        <v>0</v>
      </c>
      <c r="I4656" s="111"/>
    </row>
    <row r="4657" spans="1:9" ht="16.5" hidden="1" customHeight="1" x14ac:dyDescent="0.25">
      <c r="A4657" s="170"/>
      <c r="B4657" s="170"/>
      <c r="C4657" s="222"/>
      <c r="D4657" s="111" t="s">
        <v>3353</v>
      </c>
      <c r="E4657" s="107">
        <v>3390664250</v>
      </c>
      <c r="F4657" s="243">
        <v>3250255000</v>
      </c>
      <c r="G4657" s="379">
        <f t="shared" si="277"/>
        <v>95.858945632850549</v>
      </c>
      <c r="H4657" s="247">
        <v>100</v>
      </c>
      <c r="I4657" s="111"/>
    </row>
    <row r="4658" spans="1:9" s="115" customFormat="1" ht="16.5" hidden="1" customHeight="1" x14ac:dyDescent="0.25">
      <c r="A4658" s="171"/>
      <c r="B4658" s="171"/>
      <c r="C4658" s="222"/>
      <c r="D4658" s="48" t="s">
        <v>1052</v>
      </c>
      <c r="E4658" s="120">
        <f>E4659</f>
        <v>1040000000</v>
      </c>
      <c r="F4658" s="332">
        <f>F4659</f>
        <v>1032000000</v>
      </c>
      <c r="G4658" s="333">
        <f t="shared" si="277"/>
        <v>99.230769230769226</v>
      </c>
      <c r="H4658" s="246">
        <f>H4659</f>
        <v>100</v>
      </c>
      <c r="I4658" s="121"/>
    </row>
    <row r="4659" spans="1:9" ht="16.5" hidden="1" customHeight="1" x14ac:dyDescent="0.25">
      <c r="A4659" s="170"/>
      <c r="B4659" s="170"/>
      <c r="C4659" s="222"/>
      <c r="D4659" s="111" t="s">
        <v>3354</v>
      </c>
      <c r="E4659" s="107">
        <v>1040000000</v>
      </c>
      <c r="F4659" s="243">
        <v>1032000000</v>
      </c>
      <c r="G4659" s="379">
        <f t="shared" si="277"/>
        <v>99.230769230769226</v>
      </c>
      <c r="H4659" s="334">
        <v>100</v>
      </c>
      <c r="I4659" s="111"/>
    </row>
    <row r="4660" spans="1:9" s="115" customFormat="1" ht="16.5" hidden="1" customHeight="1" x14ac:dyDescent="0.25">
      <c r="A4660" s="171"/>
      <c r="B4660" s="171"/>
      <c r="C4660" s="222"/>
      <c r="D4660" s="48" t="s">
        <v>3355</v>
      </c>
      <c r="E4660" s="120">
        <f>E4661</f>
        <v>1443000000</v>
      </c>
      <c r="F4660" s="332">
        <f>F4661</f>
        <v>1322500000</v>
      </c>
      <c r="G4660" s="333">
        <f t="shared" si="277"/>
        <v>91.64934164934165</v>
      </c>
      <c r="H4660" s="246">
        <f>H4661</f>
        <v>100</v>
      </c>
      <c r="I4660" s="121"/>
    </row>
    <row r="4661" spans="1:9" ht="18.75" hidden="1" customHeight="1" x14ac:dyDescent="0.25">
      <c r="A4661" s="170"/>
      <c r="B4661" s="170"/>
      <c r="C4661" s="222"/>
      <c r="D4661" s="118" t="s">
        <v>3356</v>
      </c>
      <c r="E4661" s="107">
        <v>1443000000</v>
      </c>
      <c r="F4661" s="243">
        <v>1322500000</v>
      </c>
      <c r="G4661" s="379">
        <f t="shared" si="277"/>
        <v>91.64934164934165</v>
      </c>
      <c r="H4661" s="247">
        <v>100</v>
      </c>
      <c r="I4661" s="111"/>
    </row>
    <row r="4662" spans="1:9" ht="16.5" hidden="1" customHeight="1" x14ac:dyDescent="0.25">
      <c r="A4662" s="170"/>
      <c r="B4662" s="170"/>
      <c r="C4662" s="222"/>
      <c r="D4662" s="118"/>
      <c r="E4662" s="107"/>
      <c r="F4662" s="108"/>
      <c r="G4662" s="117"/>
      <c r="H4662" s="114"/>
      <c r="I4662" s="111"/>
    </row>
    <row r="4663" spans="1:9" s="115" customFormat="1" ht="16.5" hidden="1" customHeight="1" x14ac:dyDescent="0.25">
      <c r="A4663" s="171"/>
      <c r="B4663" s="171"/>
      <c r="C4663" s="222"/>
      <c r="D4663" s="48" t="s">
        <v>363</v>
      </c>
      <c r="E4663" s="120">
        <f>E4665+E4668+E4671</f>
        <v>9180000000</v>
      </c>
      <c r="F4663" s="113">
        <f>+F4665+F4668+F4671</f>
        <v>9121615942</v>
      </c>
      <c r="G4663" s="114">
        <f>+F4663/E4663*100</f>
        <v>99.364008082788672</v>
      </c>
      <c r="H4663" s="114">
        <f>(H4664+H4668)/2</f>
        <v>100</v>
      </c>
      <c r="I4663" s="121"/>
    </row>
    <row r="4664" spans="1:9" s="115" customFormat="1" ht="16.5" hidden="1" customHeight="1" x14ac:dyDescent="0.25">
      <c r="A4664" s="171"/>
      <c r="B4664" s="171"/>
      <c r="C4664" s="222"/>
      <c r="D4664" s="48" t="s">
        <v>3357</v>
      </c>
      <c r="E4664" s="195">
        <f>E4665+E4666</f>
        <v>9795000000</v>
      </c>
      <c r="F4664" s="113">
        <f>F4665+F4666</f>
        <v>9735840000</v>
      </c>
      <c r="G4664" s="114">
        <f>+F4664/E4664*100</f>
        <v>99.396018376722822</v>
      </c>
      <c r="H4664" s="114">
        <f>SUM(H4665:H4667)/3</f>
        <v>100</v>
      </c>
      <c r="I4664" s="121"/>
    </row>
    <row r="4665" spans="1:9" ht="16.5" hidden="1" customHeight="1" x14ac:dyDescent="0.25">
      <c r="A4665" s="170"/>
      <c r="B4665" s="170"/>
      <c r="C4665" s="222"/>
      <c r="D4665" s="32" t="s">
        <v>3358</v>
      </c>
      <c r="E4665" s="107">
        <f>E4666+E4667</f>
        <v>5515000000</v>
      </c>
      <c r="F4665" s="243">
        <f>F4666+F4667</f>
        <v>5485420000</v>
      </c>
      <c r="G4665" s="379">
        <f t="shared" ref="G4665:G4674" si="278">(F4665/E4665)*100</f>
        <v>99.463644605621042</v>
      </c>
      <c r="H4665" s="334">
        <f>(H4666+H4667)/2</f>
        <v>100</v>
      </c>
      <c r="I4665" s="111"/>
    </row>
    <row r="4666" spans="1:9" ht="16.5" hidden="1" customHeight="1" x14ac:dyDescent="0.25">
      <c r="A4666" s="170"/>
      <c r="B4666" s="170"/>
      <c r="C4666" s="222"/>
      <c r="D4666" s="111" t="s">
        <v>3359</v>
      </c>
      <c r="E4666" s="107">
        <v>4280000000</v>
      </c>
      <c r="F4666" s="243">
        <v>4250420000</v>
      </c>
      <c r="G4666" s="379">
        <f t="shared" si="278"/>
        <v>99.30887850467289</v>
      </c>
      <c r="H4666" s="334">
        <v>100</v>
      </c>
      <c r="I4666" s="111"/>
    </row>
    <row r="4667" spans="1:9" ht="16.5" hidden="1" customHeight="1" x14ac:dyDescent="0.25">
      <c r="A4667" s="170"/>
      <c r="B4667" s="170"/>
      <c r="C4667" s="222"/>
      <c r="D4667" s="111" t="s">
        <v>3360</v>
      </c>
      <c r="E4667" s="107">
        <v>1235000000</v>
      </c>
      <c r="F4667" s="243">
        <v>1235000000</v>
      </c>
      <c r="G4667" s="379">
        <f t="shared" si="278"/>
        <v>100</v>
      </c>
      <c r="H4667" s="334">
        <v>100</v>
      </c>
      <c r="I4667" s="111"/>
    </row>
    <row r="4668" spans="1:9" s="115" customFormat="1" ht="16.5" hidden="1" customHeight="1" x14ac:dyDescent="0.25">
      <c r="A4668" s="171"/>
      <c r="B4668" s="171"/>
      <c r="C4668" s="222"/>
      <c r="D4668" s="48" t="s">
        <v>370</v>
      </c>
      <c r="E4668" s="120">
        <f>E4669+E4670</f>
        <v>1375000000</v>
      </c>
      <c r="F4668" s="242">
        <f>F4669+F4670</f>
        <v>1375000000</v>
      </c>
      <c r="G4668" s="333">
        <f t="shared" si="278"/>
        <v>100</v>
      </c>
      <c r="H4668" s="336">
        <f>(H4669+H4670)/2</f>
        <v>100</v>
      </c>
      <c r="I4668" s="121"/>
    </row>
    <row r="4669" spans="1:9" ht="16.5" hidden="1" customHeight="1" x14ac:dyDescent="0.25">
      <c r="A4669" s="170"/>
      <c r="B4669" s="170"/>
      <c r="C4669" s="222"/>
      <c r="D4669" s="118" t="s">
        <v>3361</v>
      </c>
      <c r="E4669" s="107">
        <v>625000000</v>
      </c>
      <c r="F4669" s="243">
        <v>625000000</v>
      </c>
      <c r="G4669" s="379">
        <f t="shared" si="278"/>
        <v>100</v>
      </c>
      <c r="H4669" s="334">
        <v>100</v>
      </c>
      <c r="I4669" s="111"/>
    </row>
    <row r="4670" spans="1:9" ht="18.75" hidden="1" customHeight="1" x14ac:dyDescent="0.25">
      <c r="A4670" s="170"/>
      <c r="B4670" s="170"/>
      <c r="C4670" s="222"/>
      <c r="D4670" s="118" t="s">
        <v>3362</v>
      </c>
      <c r="E4670" s="107">
        <v>750000000</v>
      </c>
      <c r="F4670" s="243">
        <v>750000000</v>
      </c>
      <c r="G4670" s="379">
        <f t="shared" si="278"/>
        <v>100</v>
      </c>
      <c r="H4670" s="334">
        <v>100</v>
      </c>
      <c r="I4670" s="111"/>
    </row>
    <row r="4671" spans="1:9" s="115" customFormat="1" ht="16.5" hidden="1" customHeight="1" x14ac:dyDescent="0.25">
      <c r="A4671" s="171"/>
      <c r="B4671" s="171"/>
      <c r="C4671" s="222"/>
      <c r="D4671" s="48" t="s">
        <v>899</v>
      </c>
      <c r="E4671" s="120">
        <f>SUM(E4672:E4674)</f>
        <v>2290000000</v>
      </c>
      <c r="F4671" s="113">
        <f>+F4672+F4673+F4674</f>
        <v>2261195942</v>
      </c>
      <c r="G4671" s="380">
        <f t="shared" si="278"/>
        <v>98.742180873362457</v>
      </c>
      <c r="H4671" s="337">
        <f>(H4672+H4673+H4674)/3</f>
        <v>100</v>
      </c>
      <c r="I4671" s="121"/>
    </row>
    <row r="4672" spans="1:9" ht="16.5" hidden="1" customHeight="1" x14ac:dyDescent="0.25">
      <c r="A4672" s="170"/>
      <c r="B4672" s="170"/>
      <c r="C4672" s="222"/>
      <c r="D4672" s="118" t="s">
        <v>3363</v>
      </c>
      <c r="E4672" s="107">
        <v>1317000000</v>
      </c>
      <c r="F4672" s="243">
        <v>1288195942</v>
      </c>
      <c r="G4672" s="379">
        <f t="shared" si="278"/>
        <v>97.812903720577069</v>
      </c>
      <c r="H4672" s="334">
        <v>100</v>
      </c>
      <c r="I4672" s="111"/>
    </row>
    <row r="4673" spans="1:9" ht="16.5" hidden="1" customHeight="1" x14ac:dyDescent="0.25">
      <c r="A4673" s="170"/>
      <c r="B4673" s="170"/>
      <c r="C4673" s="222"/>
      <c r="D4673" s="118" t="s">
        <v>1104</v>
      </c>
      <c r="E4673" s="107">
        <v>523000000</v>
      </c>
      <c r="F4673" s="243">
        <v>523000000</v>
      </c>
      <c r="G4673" s="379">
        <f t="shared" si="278"/>
        <v>100</v>
      </c>
      <c r="H4673" s="334">
        <v>100</v>
      </c>
      <c r="I4673" s="111"/>
    </row>
    <row r="4674" spans="1:9" ht="16.5" hidden="1" customHeight="1" x14ac:dyDescent="0.25">
      <c r="A4674" s="170"/>
      <c r="B4674" s="170"/>
      <c r="C4674" s="222"/>
      <c r="D4674" s="118" t="s">
        <v>1105</v>
      </c>
      <c r="E4674" s="107">
        <v>450000000</v>
      </c>
      <c r="F4674" s="243">
        <v>450000000</v>
      </c>
      <c r="G4674" s="379">
        <f t="shared" si="278"/>
        <v>100</v>
      </c>
      <c r="H4674" s="334">
        <v>100</v>
      </c>
      <c r="I4674" s="111"/>
    </row>
    <row r="4675" spans="1:9" ht="16.5" hidden="1" customHeight="1" x14ac:dyDescent="0.25">
      <c r="A4675" s="170"/>
      <c r="B4675" s="170"/>
      <c r="C4675" s="222"/>
      <c r="D4675" s="118"/>
      <c r="E4675" s="116"/>
      <c r="F4675" s="108"/>
      <c r="G4675" s="117"/>
      <c r="H4675" s="117"/>
      <c r="I4675" s="111"/>
    </row>
    <row r="4676" spans="1:9" s="115" customFormat="1" ht="16.5" customHeight="1" x14ac:dyDescent="0.25">
      <c r="A4676" s="171"/>
      <c r="B4676" s="171"/>
      <c r="C4676" s="222" t="s">
        <v>3364</v>
      </c>
      <c r="D4676" s="217" t="s">
        <v>3365</v>
      </c>
      <c r="E4676" s="168">
        <f>+E4678+E4712+E4746+E4770+E4775+E4782+E4792+E4800+E4804+E4809+E4813+E4818+E4822+E4828+E4835+E4840+E4844+E4848</f>
        <v>106342752000</v>
      </c>
      <c r="F4676" s="168">
        <f>+F4677+F4712+F4746+F4770+F4775+F4782+F4792+F4800+F4804+F4809+F4813+F4818+F4822+F4828+F4835+F4840+F4844+F4848</f>
        <v>76327687500</v>
      </c>
      <c r="G4676" s="114">
        <f>+F4676/E4676*100</f>
        <v>71.775166679906874</v>
      </c>
      <c r="H4676" s="114">
        <f>(H4678+H4712+H4746+H4770+H4775+H4782+H4792+H4800+H4804+H4818+H4813+H4809+H4822+H4828+H4835+H4840+H4844+H4848)/18</f>
        <v>66.542194637239987</v>
      </c>
      <c r="I4676" s="121" t="s">
        <v>677</v>
      </c>
    </row>
    <row r="4677" spans="1:9" ht="13.5" hidden="1" customHeight="1" x14ac:dyDescent="0.25">
      <c r="A4677" s="170"/>
      <c r="B4677" s="170"/>
      <c r="C4677" s="222"/>
      <c r="D4677" s="217" t="s">
        <v>1157</v>
      </c>
      <c r="E4677" s="169">
        <f>E4678</f>
        <v>31902825600</v>
      </c>
      <c r="F4677" s="242">
        <f>+F4678</f>
        <v>21331000000</v>
      </c>
      <c r="G4677" s="333">
        <f t="shared" ref="G4677:G4709" si="279">F4677/E4677*100</f>
        <v>66.862416098967742</v>
      </c>
      <c r="H4677" s="114">
        <f t="shared" ref="H4677:H4740" si="280">+G4677</f>
        <v>66.862416098967742</v>
      </c>
      <c r="I4677" s="111"/>
    </row>
    <row r="4678" spans="1:9" ht="16.5" hidden="1" customHeight="1" x14ac:dyDescent="0.25">
      <c r="A4678" s="170"/>
      <c r="B4678" s="170"/>
      <c r="C4678" s="222"/>
      <c r="D4678" s="217" t="s">
        <v>82</v>
      </c>
      <c r="E4678" s="168">
        <f>E4679+E4684+E4692+E4695+E4701+E4703</f>
        <v>31902825600</v>
      </c>
      <c r="F4678" s="242">
        <f>+F4679+F4684+F4692+F4695+F4701+F4703</f>
        <v>21331000000</v>
      </c>
      <c r="G4678" s="333">
        <f t="shared" si="279"/>
        <v>66.862416098967742</v>
      </c>
      <c r="H4678" s="114">
        <f t="shared" si="280"/>
        <v>66.862416098967742</v>
      </c>
      <c r="I4678" s="111"/>
    </row>
    <row r="4679" spans="1:9" ht="16.5" hidden="1" customHeight="1" x14ac:dyDescent="0.25">
      <c r="A4679" s="170"/>
      <c r="B4679" s="170"/>
      <c r="C4679" s="222"/>
      <c r="D4679" s="217" t="s">
        <v>797</v>
      </c>
      <c r="E4679" s="168">
        <v>2336000000</v>
      </c>
      <c r="F4679" s="242">
        <f>SUM(F4680:F4683)</f>
        <v>2157000000</v>
      </c>
      <c r="G4679" s="333">
        <f t="shared" si="279"/>
        <v>92.337328767123282</v>
      </c>
      <c r="H4679" s="114">
        <f t="shared" si="280"/>
        <v>92.337328767123282</v>
      </c>
      <c r="I4679" s="111"/>
    </row>
    <row r="4680" spans="1:9" ht="16.5" hidden="1" customHeight="1" x14ac:dyDescent="0.25">
      <c r="A4680" s="170"/>
      <c r="B4680" s="170"/>
      <c r="C4680" s="222"/>
      <c r="D4680" s="119" t="s">
        <v>979</v>
      </c>
      <c r="E4680" s="169">
        <v>800000000</v>
      </c>
      <c r="F4680" s="243">
        <v>690000000</v>
      </c>
      <c r="G4680" s="333">
        <f t="shared" si="279"/>
        <v>86.25</v>
      </c>
      <c r="H4680" s="114">
        <f t="shared" si="280"/>
        <v>86.25</v>
      </c>
      <c r="I4680" s="111"/>
    </row>
    <row r="4681" spans="1:9" ht="16.5" hidden="1" customHeight="1" x14ac:dyDescent="0.25">
      <c r="A4681" s="170"/>
      <c r="B4681" s="170"/>
      <c r="C4681" s="222"/>
      <c r="D4681" s="119" t="s">
        <v>2870</v>
      </c>
      <c r="E4681" s="169">
        <v>900000000</v>
      </c>
      <c r="F4681" s="243">
        <f>+E4681</f>
        <v>900000000</v>
      </c>
      <c r="G4681" s="333">
        <f t="shared" si="279"/>
        <v>100</v>
      </c>
      <c r="H4681" s="114">
        <f t="shared" si="280"/>
        <v>100</v>
      </c>
      <c r="I4681" s="111"/>
    </row>
    <row r="4682" spans="1:9" ht="16.5" hidden="1" customHeight="1" x14ac:dyDescent="0.25">
      <c r="A4682" s="170"/>
      <c r="B4682" s="170"/>
      <c r="C4682" s="222"/>
      <c r="D4682" s="119" t="s">
        <v>3366</v>
      </c>
      <c r="E4682" s="169">
        <v>336000000</v>
      </c>
      <c r="F4682" s="243">
        <v>302000000</v>
      </c>
      <c r="G4682" s="333">
        <f t="shared" si="279"/>
        <v>89.88095238095238</v>
      </c>
      <c r="H4682" s="114">
        <f t="shared" si="280"/>
        <v>89.88095238095238</v>
      </c>
      <c r="I4682" s="111"/>
    </row>
    <row r="4683" spans="1:9" ht="16.5" hidden="1" customHeight="1" x14ac:dyDescent="0.25">
      <c r="A4683" s="170"/>
      <c r="B4683" s="170"/>
      <c r="C4683" s="222"/>
      <c r="D4683" s="119" t="s">
        <v>3367</v>
      </c>
      <c r="E4683" s="169">
        <v>300000000</v>
      </c>
      <c r="F4683" s="243">
        <v>265000000</v>
      </c>
      <c r="G4683" s="333">
        <f t="shared" si="279"/>
        <v>88.333333333333329</v>
      </c>
      <c r="H4683" s="114">
        <f t="shared" si="280"/>
        <v>88.333333333333329</v>
      </c>
      <c r="I4683" s="111"/>
    </row>
    <row r="4684" spans="1:9" ht="16.5" hidden="1" customHeight="1" x14ac:dyDescent="0.25">
      <c r="A4684" s="170"/>
      <c r="B4684" s="170"/>
      <c r="C4684" s="222"/>
      <c r="D4684" s="217" t="s">
        <v>680</v>
      </c>
      <c r="E4684" s="168">
        <v>7586775000</v>
      </c>
      <c r="F4684" s="242">
        <f>SUM(F4685:F4691)</f>
        <v>4745000000</v>
      </c>
      <c r="G4684" s="333">
        <f t="shared" si="279"/>
        <v>62.543043651617459</v>
      </c>
      <c r="H4684" s="114">
        <f t="shared" si="280"/>
        <v>62.543043651617459</v>
      </c>
      <c r="I4684" s="111"/>
    </row>
    <row r="4685" spans="1:9" ht="16.5" hidden="1" customHeight="1" x14ac:dyDescent="0.25">
      <c r="A4685" s="170"/>
      <c r="B4685" s="170"/>
      <c r="C4685" s="222"/>
      <c r="D4685" s="119" t="s">
        <v>979</v>
      </c>
      <c r="E4685" s="169">
        <v>4049275000</v>
      </c>
      <c r="F4685" s="243">
        <v>2200000000</v>
      </c>
      <c r="G4685" s="333">
        <f t="shared" si="279"/>
        <v>54.330713522791122</v>
      </c>
      <c r="H4685" s="114">
        <f t="shared" si="280"/>
        <v>54.330713522791122</v>
      </c>
      <c r="I4685" s="111"/>
    </row>
    <row r="4686" spans="1:9" ht="16.5" hidden="1" customHeight="1" x14ac:dyDescent="0.25">
      <c r="A4686" s="170"/>
      <c r="B4686" s="170"/>
      <c r="C4686" s="222"/>
      <c r="D4686" s="119" t="s">
        <v>2870</v>
      </c>
      <c r="E4686" s="169">
        <v>1850000000</v>
      </c>
      <c r="F4686" s="243">
        <v>1120000000</v>
      </c>
      <c r="G4686" s="333">
        <f t="shared" si="279"/>
        <v>60.540540540540547</v>
      </c>
      <c r="H4686" s="114">
        <f t="shared" si="280"/>
        <v>60.540540540540547</v>
      </c>
      <c r="I4686" s="111"/>
    </row>
    <row r="4687" spans="1:9" ht="16.5" hidden="1" customHeight="1" x14ac:dyDescent="0.25">
      <c r="A4687" s="170"/>
      <c r="B4687" s="170"/>
      <c r="C4687" s="222"/>
      <c r="D4687" s="119" t="s">
        <v>3368</v>
      </c>
      <c r="E4687" s="169">
        <v>250000000</v>
      </c>
      <c r="F4687" s="243">
        <v>225000000</v>
      </c>
      <c r="G4687" s="333">
        <f t="shared" si="279"/>
        <v>90</v>
      </c>
      <c r="H4687" s="114">
        <f t="shared" si="280"/>
        <v>90</v>
      </c>
      <c r="I4687" s="111"/>
    </row>
    <row r="4688" spans="1:9" ht="16.5" hidden="1" customHeight="1" x14ac:dyDescent="0.25">
      <c r="A4688" s="170"/>
      <c r="B4688" s="170"/>
      <c r="C4688" s="222"/>
      <c r="D4688" s="119" t="s">
        <v>3369</v>
      </c>
      <c r="E4688" s="169">
        <v>637500000</v>
      </c>
      <c r="F4688" s="243">
        <v>542000000</v>
      </c>
      <c r="G4688" s="333">
        <f t="shared" si="279"/>
        <v>85.019607843137251</v>
      </c>
      <c r="H4688" s="114">
        <f t="shared" si="280"/>
        <v>85.019607843137251</v>
      </c>
      <c r="I4688" s="111"/>
    </row>
    <row r="4689" spans="1:9" ht="16.5" hidden="1" customHeight="1" x14ac:dyDescent="0.25">
      <c r="A4689" s="170"/>
      <c r="B4689" s="170"/>
      <c r="C4689" s="222"/>
      <c r="D4689" s="119" t="s">
        <v>3370</v>
      </c>
      <c r="E4689" s="169">
        <v>300000000</v>
      </c>
      <c r="F4689" s="243">
        <v>210000000</v>
      </c>
      <c r="G4689" s="333">
        <f t="shared" si="279"/>
        <v>70</v>
      </c>
      <c r="H4689" s="114">
        <f t="shared" si="280"/>
        <v>70</v>
      </c>
      <c r="I4689" s="111"/>
    </row>
    <row r="4690" spans="1:9" ht="16.5" hidden="1" customHeight="1" x14ac:dyDescent="0.25">
      <c r="A4690" s="170"/>
      <c r="B4690" s="170"/>
      <c r="C4690" s="222"/>
      <c r="D4690" s="119" t="s">
        <v>3371</v>
      </c>
      <c r="E4690" s="169">
        <v>200000000</v>
      </c>
      <c r="F4690" s="243">
        <v>185000000</v>
      </c>
      <c r="G4690" s="333">
        <f t="shared" si="279"/>
        <v>92.5</v>
      </c>
      <c r="H4690" s="114">
        <f t="shared" si="280"/>
        <v>92.5</v>
      </c>
      <c r="I4690" s="111"/>
    </row>
    <row r="4691" spans="1:9" ht="16.5" hidden="1" customHeight="1" x14ac:dyDescent="0.25">
      <c r="A4691" s="170"/>
      <c r="B4691" s="170"/>
      <c r="C4691" s="222"/>
      <c r="D4691" s="119" t="s">
        <v>3372</v>
      </c>
      <c r="E4691" s="169">
        <v>300000000</v>
      </c>
      <c r="F4691" s="243">
        <v>263000000</v>
      </c>
      <c r="G4691" s="333">
        <f t="shared" si="279"/>
        <v>87.666666666666671</v>
      </c>
      <c r="H4691" s="114">
        <f t="shared" si="280"/>
        <v>87.666666666666671</v>
      </c>
      <c r="I4691" s="111"/>
    </row>
    <row r="4692" spans="1:9" ht="16.5" hidden="1" customHeight="1" x14ac:dyDescent="0.25">
      <c r="A4692" s="170"/>
      <c r="B4692" s="170"/>
      <c r="C4692" s="222"/>
      <c r="D4692" s="217" t="s">
        <v>92</v>
      </c>
      <c r="E4692" s="168">
        <v>556000000</v>
      </c>
      <c r="F4692" s="242">
        <f>+F4693+F4694</f>
        <v>528000000</v>
      </c>
      <c r="G4692" s="333">
        <f t="shared" si="279"/>
        <v>94.964028776978409</v>
      </c>
      <c r="H4692" s="114">
        <f t="shared" si="280"/>
        <v>94.964028776978409</v>
      </c>
      <c r="I4692" s="111"/>
    </row>
    <row r="4693" spans="1:9" ht="16.5" hidden="1" customHeight="1" x14ac:dyDescent="0.25">
      <c r="A4693" s="170"/>
      <c r="B4693" s="170"/>
      <c r="C4693" s="222"/>
      <c r="D4693" s="119" t="s">
        <v>1002</v>
      </c>
      <c r="E4693" s="169">
        <v>306000000</v>
      </c>
      <c r="F4693" s="243">
        <v>301000000</v>
      </c>
      <c r="G4693" s="333">
        <f t="shared" si="279"/>
        <v>98.366013071895424</v>
      </c>
      <c r="H4693" s="114">
        <f t="shared" si="280"/>
        <v>98.366013071895424</v>
      </c>
      <c r="I4693" s="111"/>
    </row>
    <row r="4694" spans="1:9" ht="16.5" hidden="1" customHeight="1" x14ac:dyDescent="0.25">
      <c r="A4694" s="170"/>
      <c r="B4694" s="170"/>
      <c r="C4694" s="222"/>
      <c r="D4694" s="119" t="s">
        <v>3373</v>
      </c>
      <c r="E4694" s="169">
        <v>250000000</v>
      </c>
      <c r="F4694" s="243">
        <v>227000000</v>
      </c>
      <c r="G4694" s="333">
        <f t="shared" si="279"/>
        <v>90.8</v>
      </c>
      <c r="H4694" s="114">
        <f t="shared" si="280"/>
        <v>90.8</v>
      </c>
      <c r="I4694" s="111"/>
    </row>
    <row r="4695" spans="1:9" ht="16.5" hidden="1" customHeight="1" x14ac:dyDescent="0.25">
      <c r="A4695" s="170"/>
      <c r="B4695" s="170"/>
      <c r="C4695" s="222"/>
      <c r="D4695" s="217" t="s">
        <v>100</v>
      </c>
      <c r="E4695" s="168">
        <v>4207500000</v>
      </c>
      <c r="F4695" s="242">
        <f>+F4696+F4697+F4698+F4699+F4700</f>
        <v>3064000000</v>
      </c>
      <c r="G4695" s="333">
        <f t="shared" si="279"/>
        <v>72.822341057635171</v>
      </c>
      <c r="H4695" s="114">
        <f t="shared" si="280"/>
        <v>72.822341057635171</v>
      </c>
      <c r="I4695" s="111"/>
    </row>
    <row r="4696" spans="1:9" ht="16.5" hidden="1" customHeight="1" x14ac:dyDescent="0.25">
      <c r="A4696" s="170"/>
      <c r="B4696" s="170"/>
      <c r="C4696" s="222"/>
      <c r="D4696" s="119" t="s">
        <v>3192</v>
      </c>
      <c r="E4696" s="169">
        <v>400000000</v>
      </c>
      <c r="F4696" s="243">
        <v>370000000</v>
      </c>
      <c r="G4696" s="333">
        <f t="shared" si="279"/>
        <v>92.5</v>
      </c>
      <c r="H4696" s="114">
        <f t="shared" si="280"/>
        <v>92.5</v>
      </c>
      <c r="I4696" s="111"/>
    </row>
    <row r="4697" spans="1:9" ht="16.5" hidden="1" customHeight="1" x14ac:dyDescent="0.25">
      <c r="A4697" s="170"/>
      <c r="B4697" s="170"/>
      <c r="C4697" s="222"/>
      <c r="D4697" s="119" t="s">
        <v>3374</v>
      </c>
      <c r="E4697" s="169">
        <v>300000000</v>
      </c>
      <c r="F4697" s="243">
        <v>300000000</v>
      </c>
      <c r="G4697" s="333">
        <f t="shared" si="279"/>
        <v>100</v>
      </c>
      <c r="H4697" s="114">
        <f t="shared" si="280"/>
        <v>100</v>
      </c>
      <c r="I4697" s="111"/>
    </row>
    <row r="4698" spans="1:9" ht="16.5" hidden="1" customHeight="1" x14ac:dyDescent="0.25">
      <c r="A4698" s="170"/>
      <c r="B4698" s="170"/>
      <c r="C4698" s="222"/>
      <c r="D4698" s="119" t="s">
        <v>1010</v>
      </c>
      <c r="E4698" s="169">
        <v>200000000</v>
      </c>
      <c r="F4698" s="243">
        <f>+E4698</f>
        <v>200000000</v>
      </c>
      <c r="G4698" s="333">
        <f t="shared" si="279"/>
        <v>100</v>
      </c>
      <c r="H4698" s="114">
        <f t="shared" si="280"/>
        <v>100</v>
      </c>
      <c r="I4698" s="111"/>
    </row>
    <row r="4699" spans="1:9" ht="16.5" hidden="1" customHeight="1" x14ac:dyDescent="0.25">
      <c r="A4699" s="170"/>
      <c r="B4699" s="170"/>
      <c r="C4699" s="222"/>
      <c r="D4699" s="119" t="s">
        <v>3375</v>
      </c>
      <c r="E4699" s="169">
        <v>157500000</v>
      </c>
      <c r="F4699" s="243">
        <v>94000000</v>
      </c>
      <c r="G4699" s="333">
        <f t="shared" si="279"/>
        <v>59.682539682539684</v>
      </c>
      <c r="H4699" s="114">
        <f t="shared" si="280"/>
        <v>59.682539682539684</v>
      </c>
      <c r="I4699" s="111"/>
    </row>
    <row r="4700" spans="1:9" ht="16.5" hidden="1" customHeight="1" x14ac:dyDescent="0.25">
      <c r="A4700" s="170"/>
      <c r="B4700" s="170"/>
      <c r="C4700" s="222"/>
      <c r="D4700" s="119" t="s">
        <v>3376</v>
      </c>
      <c r="E4700" s="169">
        <v>3150000000</v>
      </c>
      <c r="F4700" s="557">
        <v>2100000000</v>
      </c>
      <c r="G4700" s="333">
        <f t="shared" si="279"/>
        <v>66.666666666666657</v>
      </c>
      <c r="H4700" s="114">
        <f t="shared" si="280"/>
        <v>66.666666666666657</v>
      </c>
      <c r="I4700" s="111"/>
    </row>
    <row r="4701" spans="1:9" ht="16.5" hidden="1" customHeight="1" x14ac:dyDescent="0.25">
      <c r="A4701" s="170"/>
      <c r="B4701" s="170"/>
      <c r="C4701" s="222"/>
      <c r="D4701" s="217" t="s">
        <v>109</v>
      </c>
      <c r="E4701" s="168">
        <v>550000000</v>
      </c>
      <c r="F4701" s="242">
        <v>330000000</v>
      </c>
      <c r="G4701" s="333">
        <f t="shared" si="279"/>
        <v>60</v>
      </c>
      <c r="H4701" s="114">
        <f t="shared" si="280"/>
        <v>60</v>
      </c>
      <c r="I4701" s="111"/>
    </row>
    <row r="4702" spans="1:9" ht="16.5" hidden="1" customHeight="1" x14ac:dyDescent="0.25">
      <c r="A4702" s="170"/>
      <c r="B4702" s="170"/>
      <c r="C4702" s="222"/>
      <c r="D4702" s="119" t="s">
        <v>3377</v>
      </c>
      <c r="E4702" s="169">
        <v>550000000</v>
      </c>
      <c r="F4702" s="243">
        <v>330000000</v>
      </c>
      <c r="G4702" s="333">
        <f t="shared" si="279"/>
        <v>60</v>
      </c>
      <c r="H4702" s="114">
        <f t="shared" si="280"/>
        <v>60</v>
      </c>
      <c r="I4702" s="111"/>
    </row>
    <row r="4703" spans="1:9" ht="16.5" hidden="1" customHeight="1" x14ac:dyDescent="0.25">
      <c r="A4703" s="170"/>
      <c r="B4703" s="170"/>
      <c r="C4703" s="222"/>
      <c r="D4703" s="217" t="s">
        <v>3378</v>
      </c>
      <c r="E4703" s="168">
        <v>16666550600</v>
      </c>
      <c r="F4703" s="242">
        <f>+F4704+F4705+F4706+F4707+F4708+F4709</f>
        <v>10507000000</v>
      </c>
      <c r="G4703" s="333">
        <f t="shared" si="279"/>
        <v>63.042439027545385</v>
      </c>
      <c r="H4703" s="114">
        <f t="shared" si="280"/>
        <v>63.042439027545385</v>
      </c>
      <c r="I4703" s="111"/>
    </row>
    <row r="4704" spans="1:9" ht="16.5" hidden="1" customHeight="1" x14ac:dyDescent="0.25">
      <c r="A4704" s="170"/>
      <c r="B4704" s="170"/>
      <c r="C4704" s="222"/>
      <c r="D4704" s="119" t="s">
        <v>3379</v>
      </c>
      <c r="E4704" s="169">
        <v>2500000000</v>
      </c>
      <c r="F4704" s="243">
        <v>1950000000</v>
      </c>
      <c r="G4704" s="333">
        <f t="shared" si="279"/>
        <v>78</v>
      </c>
      <c r="H4704" s="114">
        <f t="shared" si="280"/>
        <v>78</v>
      </c>
      <c r="I4704" s="111"/>
    </row>
    <row r="4705" spans="1:9" ht="16.5" hidden="1" customHeight="1" x14ac:dyDescent="0.25">
      <c r="A4705" s="170"/>
      <c r="B4705" s="170"/>
      <c r="C4705" s="222"/>
      <c r="D4705" s="119" t="s">
        <v>3380</v>
      </c>
      <c r="E4705" s="169">
        <v>3200000000</v>
      </c>
      <c r="F4705" s="558">
        <v>960000000</v>
      </c>
      <c r="G4705" s="333">
        <f t="shared" si="279"/>
        <v>30</v>
      </c>
      <c r="H4705" s="114">
        <f t="shared" si="280"/>
        <v>30</v>
      </c>
      <c r="I4705" s="111"/>
    </row>
    <row r="4706" spans="1:9" ht="16.5" hidden="1" customHeight="1" x14ac:dyDescent="0.25">
      <c r="A4706" s="170"/>
      <c r="B4706" s="170"/>
      <c r="C4706" s="222"/>
      <c r="D4706" s="119" t="s">
        <v>3381</v>
      </c>
      <c r="E4706" s="169">
        <v>1750000000</v>
      </c>
      <c r="F4706" s="243">
        <v>1700000000</v>
      </c>
      <c r="G4706" s="333">
        <f t="shared" si="279"/>
        <v>97.142857142857139</v>
      </c>
      <c r="H4706" s="114">
        <f t="shared" si="280"/>
        <v>97.142857142857139</v>
      </c>
      <c r="I4706" s="111"/>
    </row>
    <row r="4707" spans="1:9" ht="16.5" hidden="1" customHeight="1" x14ac:dyDescent="0.25">
      <c r="A4707" s="170"/>
      <c r="B4707" s="170"/>
      <c r="C4707" s="222"/>
      <c r="D4707" s="119" t="s">
        <v>3382</v>
      </c>
      <c r="E4707" s="169">
        <v>7500000000</v>
      </c>
      <c r="F4707" s="243">
        <v>4802000000</v>
      </c>
      <c r="G4707" s="333">
        <f t="shared" si="279"/>
        <v>64.026666666666671</v>
      </c>
      <c r="H4707" s="114">
        <f t="shared" si="280"/>
        <v>64.026666666666671</v>
      </c>
      <c r="I4707" s="111"/>
    </row>
    <row r="4708" spans="1:9" ht="16.5" hidden="1" customHeight="1" x14ac:dyDescent="0.25">
      <c r="A4708" s="170"/>
      <c r="B4708" s="170"/>
      <c r="C4708" s="222"/>
      <c r="D4708" s="119" t="s">
        <v>3383</v>
      </c>
      <c r="E4708" s="169">
        <v>750000000</v>
      </c>
      <c r="F4708" s="243">
        <v>450000000</v>
      </c>
      <c r="G4708" s="333">
        <f t="shared" si="279"/>
        <v>60</v>
      </c>
      <c r="H4708" s="114">
        <f t="shared" si="280"/>
        <v>60</v>
      </c>
      <c r="I4708" s="111"/>
    </row>
    <row r="4709" spans="1:9" ht="16.5" hidden="1" customHeight="1" x14ac:dyDescent="0.25">
      <c r="A4709" s="170"/>
      <c r="B4709" s="170"/>
      <c r="C4709" s="222"/>
      <c r="D4709" s="119" t="s">
        <v>3384</v>
      </c>
      <c r="E4709" s="169">
        <v>966550600</v>
      </c>
      <c r="F4709" s="243">
        <v>645000000</v>
      </c>
      <c r="G4709" s="333">
        <f t="shared" si="279"/>
        <v>66.732150391298703</v>
      </c>
      <c r="H4709" s="114">
        <f t="shared" si="280"/>
        <v>66.732150391298703</v>
      </c>
      <c r="I4709" s="111"/>
    </row>
    <row r="4710" spans="1:9" ht="16.5" hidden="1" customHeight="1" x14ac:dyDescent="0.25">
      <c r="A4710" s="170"/>
      <c r="B4710" s="170"/>
      <c r="C4710" s="222"/>
      <c r="D4710" s="119"/>
      <c r="E4710" s="169"/>
      <c r="F4710" s="108">
        <v>0</v>
      </c>
      <c r="G4710" s="333"/>
      <c r="H4710" s="114"/>
      <c r="I4710" s="111"/>
    </row>
    <row r="4711" spans="1:9" ht="16.5" hidden="1" customHeight="1" x14ac:dyDescent="0.25">
      <c r="A4711" s="170"/>
      <c r="B4711" s="170"/>
      <c r="C4711" s="222"/>
      <c r="D4711" s="217" t="s">
        <v>1203</v>
      </c>
      <c r="E4711" s="169">
        <f>+E4712</f>
        <v>15951412800</v>
      </c>
      <c r="F4711" s="108">
        <v>0</v>
      </c>
      <c r="G4711" s="333">
        <f t="shared" ref="G4711:G4744" si="281">F4711/E4711*100</f>
        <v>0</v>
      </c>
      <c r="H4711" s="114">
        <f t="shared" si="280"/>
        <v>0</v>
      </c>
      <c r="I4711" s="111"/>
    </row>
    <row r="4712" spans="1:9" ht="16.5" hidden="1" customHeight="1" x14ac:dyDescent="0.25">
      <c r="A4712" s="170"/>
      <c r="B4712" s="170"/>
      <c r="C4712" s="222"/>
      <c r="D4712" s="217" t="s">
        <v>150</v>
      </c>
      <c r="E4712" s="168">
        <f>E4713+E4716+E4721+E4724+E4727+E4734+E4741+E4743</f>
        <v>15951412800</v>
      </c>
      <c r="F4712" s="168">
        <f>+F4713+F4716+F4721+F4724+F4727+F4734+F4741+F4743</f>
        <v>9827000000</v>
      </c>
      <c r="G4712" s="333">
        <f t="shared" si="281"/>
        <v>61.605828419160467</v>
      </c>
      <c r="H4712" s="114">
        <f>+G4712</f>
        <v>61.605828419160467</v>
      </c>
      <c r="I4712" s="111"/>
    </row>
    <row r="4713" spans="1:9" ht="16.5" hidden="1" customHeight="1" x14ac:dyDescent="0.25">
      <c r="A4713" s="170"/>
      <c r="B4713" s="170"/>
      <c r="C4713" s="222"/>
      <c r="D4713" s="217" t="s">
        <v>156</v>
      </c>
      <c r="E4713" s="168">
        <v>610000000</v>
      </c>
      <c r="F4713" s="242">
        <v>590000000</v>
      </c>
      <c r="G4713" s="333">
        <f t="shared" si="281"/>
        <v>96.721311475409834</v>
      </c>
      <c r="H4713" s="114">
        <f>(H4714+H4715)/2</f>
        <v>70</v>
      </c>
      <c r="I4713" s="111"/>
    </row>
    <row r="4714" spans="1:9" ht="16.5" hidden="1" customHeight="1" x14ac:dyDescent="0.25">
      <c r="A4714" s="170"/>
      <c r="B4714" s="170"/>
      <c r="C4714" s="222"/>
      <c r="D4714" s="119" t="s">
        <v>3385</v>
      </c>
      <c r="E4714" s="169">
        <v>360000000</v>
      </c>
      <c r="F4714" s="243">
        <v>216000000</v>
      </c>
      <c r="G4714" s="333">
        <f t="shared" si="281"/>
        <v>60</v>
      </c>
      <c r="H4714" s="114">
        <v>40</v>
      </c>
      <c r="I4714" s="111"/>
    </row>
    <row r="4715" spans="1:9" ht="16.5" hidden="1" customHeight="1" x14ac:dyDescent="0.25">
      <c r="A4715" s="170"/>
      <c r="B4715" s="170"/>
      <c r="C4715" s="222"/>
      <c r="D4715" s="119" t="s">
        <v>3386</v>
      </c>
      <c r="E4715" s="169">
        <v>250000000</v>
      </c>
      <c r="F4715" s="243">
        <f>+E4715</f>
        <v>250000000</v>
      </c>
      <c r="G4715" s="333">
        <f t="shared" si="281"/>
        <v>100</v>
      </c>
      <c r="H4715" s="114">
        <f t="shared" si="280"/>
        <v>100</v>
      </c>
      <c r="I4715" s="111"/>
    </row>
    <row r="4716" spans="1:9" ht="16.5" hidden="1" customHeight="1" x14ac:dyDescent="0.25">
      <c r="A4716" s="170"/>
      <c r="B4716" s="170"/>
      <c r="C4716" s="222"/>
      <c r="D4716" s="217" t="s">
        <v>166</v>
      </c>
      <c r="E4716" s="168">
        <v>2700000000</v>
      </c>
      <c r="F4716" s="242">
        <v>2345000000</v>
      </c>
      <c r="G4716" s="333">
        <f t="shared" si="281"/>
        <v>86.851851851851848</v>
      </c>
      <c r="H4716" s="114">
        <f>SUM((H4717:H4720))/4</f>
        <v>45</v>
      </c>
      <c r="I4716" s="111"/>
    </row>
    <row r="4717" spans="1:9" ht="16.5" hidden="1" customHeight="1" x14ac:dyDescent="0.25">
      <c r="A4717" s="170"/>
      <c r="B4717" s="170"/>
      <c r="C4717" s="222"/>
      <c r="D4717" s="119" t="s">
        <v>3387</v>
      </c>
      <c r="E4717" s="169">
        <v>1500000000</v>
      </c>
      <c r="F4717" s="243">
        <v>1400000000</v>
      </c>
      <c r="G4717" s="333">
        <f t="shared" si="281"/>
        <v>93.333333333333329</v>
      </c>
      <c r="H4717" s="114">
        <v>30</v>
      </c>
      <c r="I4717" s="111"/>
    </row>
    <row r="4718" spans="1:9" ht="16.5" hidden="1" customHeight="1" x14ac:dyDescent="0.25">
      <c r="A4718" s="170"/>
      <c r="B4718" s="170"/>
      <c r="C4718" s="222"/>
      <c r="D4718" s="119" t="s">
        <v>3388</v>
      </c>
      <c r="E4718" s="169">
        <v>150000000</v>
      </c>
      <c r="F4718" s="243">
        <v>120000000</v>
      </c>
      <c r="G4718" s="333">
        <f t="shared" si="281"/>
        <v>80</v>
      </c>
      <c r="H4718" s="114">
        <v>50</v>
      </c>
      <c r="I4718" s="111"/>
    </row>
    <row r="4719" spans="1:9" ht="16.5" hidden="1" customHeight="1" x14ac:dyDescent="0.25">
      <c r="A4719" s="170"/>
      <c r="B4719" s="170"/>
      <c r="C4719" s="222"/>
      <c r="D4719" s="119" t="s">
        <v>3389</v>
      </c>
      <c r="E4719" s="169">
        <v>750000000</v>
      </c>
      <c r="F4719" s="243">
        <v>525000000</v>
      </c>
      <c r="G4719" s="333">
        <f t="shared" si="281"/>
        <v>70</v>
      </c>
      <c r="H4719" s="114">
        <v>50</v>
      </c>
      <c r="I4719" s="111"/>
    </row>
    <row r="4720" spans="1:9" ht="16.5" hidden="1" customHeight="1" x14ac:dyDescent="0.25">
      <c r="A4720" s="170"/>
      <c r="B4720" s="170"/>
      <c r="C4720" s="222"/>
      <c r="D4720" s="119" t="s">
        <v>3390</v>
      </c>
      <c r="E4720" s="169">
        <v>300000000</v>
      </c>
      <c r="F4720" s="243">
        <v>300000000</v>
      </c>
      <c r="G4720" s="333">
        <f t="shared" si="281"/>
        <v>100</v>
      </c>
      <c r="H4720" s="114">
        <v>50</v>
      </c>
      <c r="I4720" s="111"/>
    </row>
    <row r="4721" spans="1:9" ht="16.5" hidden="1" customHeight="1" x14ac:dyDescent="0.25">
      <c r="A4721" s="170"/>
      <c r="B4721" s="170"/>
      <c r="C4721" s="222"/>
      <c r="D4721" s="217" t="s">
        <v>705</v>
      </c>
      <c r="E4721" s="168">
        <v>336412800</v>
      </c>
      <c r="F4721" s="242">
        <v>300000000</v>
      </c>
      <c r="G4721" s="333">
        <f t="shared" si="281"/>
        <v>89.176155009559693</v>
      </c>
      <c r="H4721" s="114">
        <f>SUM((H4722:H4723))/2</f>
        <v>60</v>
      </c>
      <c r="I4721" s="111"/>
    </row>
    <row r="4722" spans="1:9" ht="16.5" hidden="1" customHeight="1" x14ac:dyDescent="0.25">
      <c r="A4722" s="170"/>
      <c r="B4722" s="170"/>
      <c r="C4722" s="222"/>
      <c r="D4722" s="119" t="s">
        <v>3391</v>
      </c>
      <c r="E4722" s="169">
        <v>86412800</v>
      </c>
      <c r="F4722" s="243">
        <v>75000000</v>
      </c>
      <c r="G4722" s="333">
        <f t="shared" si="281"/>
        <v>86.792697378166196</v>
      </c>
      <c r="H4722" s="114">
        <v>30</v>
      </c>
      <c r="I4722" s="111"/>
    </row>
    <row r="4723" spans="1:9" ht="16.5" hidden="1" customHeight="1" x14ac:dyDescent="0.25">
      <c r="A4723" s="170"/>
      <c r="B4723" s="170"/>
      <c r="C4723" s="222"/>
      <c r="D4723" s="119" t="s">
        <v>3392</v>
      </c>
      <c r="E4723" s="169">
        <v>250000000</v>
      </c>
      <c r="F4723" s="243">
        <v>225000000</v>
      </c>
      <c r="G4723" s="333">
        <f t="shared" si="281"/>
        <v>90</v>
      </c>
      <c r="H4723" s="114">
        <f t="shared" si="280"/>
        <v>90</v>
      </c>
      <c r="I4723" s="111"/>
    </row>
    <row r="4724" spans="1:9" ht="16.5" hidden="1" customHeight="1" x14ac:dyDescent="0.25">
      <c r="A4724" s="170"/>
      <c r="B4724" s="170"/>
      <c r="C4724" s="222"/>
      <c r="D4724" s="217" t="s">
        <v>177</v>
      </c>
      <c r="E4724" s="168">
        <v>775000000</v>
      </c>
      <c r="F4724" s="242">
        <v>736000000</v>
      </c>
      <c r="G4724" s="333">
        <f t="shared" si="281"/>
        <v>94.967741935483872</v>
      </c>
      <c r="H4724" s="114">
        <f>SUM((H4725:H4726))/2</f>
        <v>58.5</v>
      </c>
      <c r="I4724" s="111"/>
    </row>
    <row r="4725" spans="1:9" ht="16.5" hidden="1" customHeight="1" x14ac:dyDescent="0.25">
      <c r="A4725" s="170"/>
      <c r="B4725" s="170"/>
      <c r="C4725" s="222"/>
      <c r="D4725" s="119" t="s">
        <v>3393</v>
      </c>
      <c r="E4725" s="169">
        <v>475000000</v>
      </c>
      <c r="F4725" s="558">
        <v>140000000</v>
      </c>
      <c r="G4725" s="333">
        <f t="shared" si="281"/>
        <v>29.473684210526311</v>
      </c>
      <c r="H4725" s="114">
        <v>35</v>
      </c>
      <c r="I4725" s="111"/>
    </row>
    <row r="4726" spans="1:9" ht="16.5" hidden="1" customHeight="1" x14ac:dyDescent="0.25">
      <c r="A4726" s="170"/>
      <c r="B4726" s="170"/>
      <c r="C4726" s="222"/>
      <c r="D4726" s="119" t="s">
        <v>3394</v>
      </c>
      <c r="E4726" s="169">
        <v>300000000</v>
      </c>
      <c r="F4726" s="243">
        <v>246000000</v>
      </c>
      <c r="G4726" s="333">
        <f t="shared" si="281"/>
        <v>82</v>
      </c>
      <c r="H4726" s="114">
        <f t="shared" si="280"/>
        <v>82</v>
      </c>
      <c r="I4726" s="111"/>
    </row>
    <row r="4727" spans="1:9" ht="16.5" hidden="1" customHeight="1" x14ac:dyDescent="0.25">
      <c r="A4727" s="170"/>
      <c r="B4727" s="170"/>
      <c r="C4727" s="222"/>
      <c r="D4727" s="217" t="s">
        <v>3395</v>
      </c>
      <c r="E4727" s="168">
        <v>2450000000</v>
      </c>
      <c r="F4727" s="242">
        <f>+F4728+F4729+F4730+F4731+F4732+F4733</f>
        <v>1895000000</v>
      </c>
      <c r="G4727" s="333">
        <f t="shared" si="281"/>
        <v>77.346938775510196</v>
      </c>
      <c r="H4727" s="114">
        <f>SUM((H4728:H4733))/6</f>
        <v>86.416259041810079</v>
      </c>
      <c r="I4727" s="111"/>
    </row>
    <row r="4728" spans="1:9" ht="16.5" hidden="1" customHeight="1" x14ac:dyDescent="0.25">
      <c r="A4728" s="170"/>
      <c r="B4728" s="170"/>
      <c r="C4728" s="222"/>
      <c r="D4728" s="119" t="s">
        <v>840</v>
      </c>
      <c r="E4728" s="169">
        <v>300000000</v>
      </c>
      <c r="F4728" s="243">
        <v>300000000</v>
      </c>
      <c r="G4728" s="333">
        <f t="shared" si="281"/>
        <v>100</v>
      </c>
      <c r="H4728" s="114">
        <f t="shared" si="280"/>
        <v>100</v>
      </c>
      <c r="I4728" s="111"/>
    </row>
    <row r="4729" spans="1:9" ht="16.5" hidden="1" customHeight="1" x14ac:dyDescent="0.25">
      <c r="A4729" s="170"/>
      <c r="B4729" s="170"/>
      <c r="C4729" s="222"/>
      <c r="D4729" s="119" t="s">
        <v>3396</v>
      </c>
      <c r="E4729" s="169">
        <v>150000000</v>
      </c>
      <c r="F4729" s="243">
        <v>145000000</v>
      </c>
      <c r="G4729" s="333">
        <f t="shared" si="281"/>
        <v>96.666666666666671</v>
      </c>
      <c r="H4729" s="114">
        <f t="shared" si="280"/>
        <v>96.666666666666671</v>
      </c>
      <c r="I4729" s="111"/>
    </row>
    <row r="4730" spans="1:9" ht="16.5" hidden="1" customHeight="1" x14ac:dyDescent="0.25">
      <c r="A4730" s="170"/>
      <c r="B4730" s="170"/>
      <c r="C4730" s="222"/>
      <c r="D4730" s="119" t="s">
        <v>3397</v>
      </c>
      <c r="E4730" s="169">
        <v>300000000</v>
      </c>
      <c r="F4730" s="243">
        <v>300000000</v>
      </c>
      <c r="G4730" s="333">
        <f t="shared" si="281"/>
        <v>100</v>
      </c>
      <c r="H4730" s="114">
        <f t="shared" si="280"/>
        <v>100</v>
      </c>
      <c r="I4730" s="111"/>
    </row>
    <row r="4731" spans="1:9" ht="16.5" hidden="1" customHeight="1" x14ac:dyDescent="0.25">
      <c r="A4731" s="170"/>
      <c r="B4731" s="170"/>
      <c r="C4731" s="222"/>
      <c r="D4731" s="119" t="s">
        <v>3398</v>
      </c>
      <c r="E4731" s="169">
        <v>300000000</v>
      </c>
      <c r="F4731" s="243">
        <v>300000000</v>
      </c>
      <c r="G4731" s="333">
        <f t="shared" si="281"/>
        <v>100</v>
      </c>
      <c r="H4731" s="114">
        <f t="shared" si="280"/>
        <v>100</v>
      </c>
      <c r="I4731" s="111"/>
    </row>
    <row r="4732" spans="1:9" ht="16.5" hidden="1" customHeight="1" x14ac:dyDescent="0.25">
      <c r="A4732" s="170"/>
      <c r="B4732" s="170"/>
      <c r="C4732" s="222"/>
      <c r="D4732" s="119" t="s">
        <v>3399</v>
      </c>
      <c r="E4732" s="169">
        <v>897000000</v>
      </c>
      <c r="F4732" s="243">
        <v>540000000</v>
      </c>
      <c r="G4732" s="333">
        <f t="shared" si="281"/>
        <v>60.200668896321076</v>
      </c>
      <c r="H4732" s="114">
        <f t="shared" si="280"/>
        <v>60.200668896321076</v>
      </c>
      <c r="I4732" s="111"/>
    </row>
    <row r="4733" spans="1:9" ht="16.5" hidden="1" customHeight="1" x14ac:dyDescent="0.25">
      <c r="A4733" s="170"/>
      <c r="B4733" s="170"/>
      <c r="C4733" s="222"/>
      <c r="D4733" s="119" t="s">
        <v>3400</v>
      </c>
      <c r="E4733" s="169">
        <v>503000000</v>
      </c>
      <c r="F4733" s="243">
        <v>310000000</v>
      </c>
      <c r="G4733" s="333">
        <f t="shared" si="281"/>
        <v>61.630218687872762</v>
      </c>
      <c r="H4733" s="114">
        <f t="shared" si="280"/>
        <v>61.630218687872762</v>
      </c>
      <c r="I4733" s="111"/>
    </row>
    <row r="4734" spans="1:9" ht="16.5" hidden="1" customHeight="1" x14ac:dyDescent="0.25">
      <c r="A4734" s="170"/>
      <c r="B4734" s="170"/>
      <c r="C4734" s="222"/>
      <c r="D4734" s="217" t="s">
        <v>3401</v>
      </c>
      <c r="E4734" s="168">
        <v>7526000000</v>
      </c>
      <c r="F4734" s="242">
        <f>+F4735+F4736+F4737+F4738+F4739+F4740</f>
        <v>2871000000</v>
      </c>
      <c r="G4734" s="333">
        <f t="shared" si="281"/>
        <v>38.147754451235713</v>
      </c>
      <c r="H4734" s="114">
        <f>SUM((H4735:H4740))/6</f>
        <v>48.651913610972848</v>
      </c>
      <c r="I4734" s="111"/>
    </row>
    <row r="4735" spans="1:9" ht="16.5" hidden="1" customHeight="1" x14ac:dyDescent="0.25">
      <c r="A4735" s="170"/>
      <c r="B4735" s="170"/>
      <c r="C4735" s="222"/>
      <c r="D4735" s="119" t="s">
        <v>3402</v>
      </c>
      <c r="E4735" s="169">
        <v>2880000000</v>
      </c>
      <c r="F4735" s="558">
        <v>800000000</v>
      </c>
      <c r="G4735" s="333">
        <f t="shared" si="281"/>
        <v>27.777777777777779</v>
      </c>
      <c r="H4735" s="114">
        <v>30</v>
      </c>
      <c r="I4735" s="111"/>
    </row>
    <row r="4736" spans="1:9" ht="16.5" hidden="1" customHeight="1" x14ac:dyDescent="0.25">
      <c r="A4736" s="170"/>
      <c r="B4736" s="170"/>
      <c r="C4736" s="222"/>
      <c r="D4736" s="119" t="s">
        <v>3403</v>
      </c>
      <c r="E4736" s="169">
        <v>750000000</v>
      </c>
      <c r="F4736" s="243">
        <v>650000000</v>
      </c>
      <c r="G4736" s="333">
        <f t="shared" si="281"/>
        <v>86.666666666666671</v>
      </c>
      <c r="H4736" s="114">
        <f t="shared" si="280"/>
        <v>86.666666666666671</v>
      </c>
      <c r="I4736" s="111"/>
    </row>
    <row r="4737" spans="1:9" ht="16.5" hidden="1" customHeight="1" x14ac:dyDescent="0.25">
      <c r="A4737" s="170"/>
      <c r="B4737" s="170"/>
      <c r="C4737" s="222"/>
      <c r="D4737" s="119" t="s">
        <v>3404</v>
      </c>
      <c r="E4737" s="169">
        <v>1176000000</v>
      </c>
      <c r="F4737" s="243">
        <v>580000000</v>
      </c>
      <c r="G4737" s="333">
        <f t="shared" si="281"/>
        <v>49.319727891156461</v>
      </c>
      <c r="H4737" s="114">
        <f t="shared" si="280"/>
        <v>49.319727891156461</v>
      </c>
      <c r="I4737" s="111"/>
    </row>
    <row r="4738" spans="1:9" ht="16.5" hidden="1" customHeight="1" x14ac:dyDescent="0.25">
      <c r="A4738" s="170"/>
      <c r="B4738" s="170"/>
      <c r="C4738" s="222"/>
      <c r="D4738" s="119" t="s">
        <v>3405</v>
      </c>
      <c r="E4738" s="169">
        <v>1400000000</v>
      </c>
      <c r="F4738" s="243">
        <v>1000000</v>
      </c>
      <c r="G4738" s="333">
        <f t="shared" si="281"/>
        <v>7.1428571428571425E-2</v>
      </c>
      <c r="H4738" s="114">
        <f t="shared" si="280"/>
        <v>7.1428571428571425E-2</v>
      </c>
      <c r="I4738" s="111"/>
    </row>
    <row r="4739" spans="1:9" ht="16.5" hidden="1" customHeight="1" x14ac:dyDescent="0.25">
      <c r="A4739" s="170"/>
      <c r="B4739" s="170"/>
      <c r="C4739" s="222"/>
      <c r="D4739" s="119" t="s">
        <v>3406</v>
      </c>
      <c r="E4739" s="169">
        <v>500000000</v>
      </c>
      <c r="F4739" s="243">
        <v>300000000</v>
      </c>
      <c r="G4739" s="333">
        <f t="shared" si="281"/>
        <v>60</v>
      </c>
      <c r="H4739" s="114">
        <f t="shared" si="280"/>
        <v>60</v>
      </c>
      <c r="I4739" s="111"/>
    </row>
    <row r="4740" spans="1:9" ht="16.5" hidden="1" customHeight="1" x14ac:dyDescent="0.25">
      <c r="A4740" s="170"/>
      <c r="B4740" s="170"/>
      <c r="C4740" s="222"/>
      <c r="D4740" s="119" t="s">
        <v>3407</v>
      </c>
      <c r="E4740" s="169">
        <v>820000000</v>
      </c>
      <c r="F4740" s="243">
        <v>540000000</v>
      </c>
      <c r="G4740" s="333">
        <f t="shared" si="281"/>
        <v>65.853658536585371</v>
      </c>
      <c r="H4740" s="114">
        <f t="shared" si="280"/>
        <v>65.853658536585371</v>
      </c>
      <c r="I4740" s="111"/>
    </row>
    <row r="4741" spans="1:9" ht="16.5" hidden="1" customHeight="1" x14ac:dyDescent="0.25">
      <c r="A4741" s="170"/>
      <c r="B4741" s="170"/>
      <c r="C4741" s="222"/>
      <c r="D4741" s="217" t="s">
        <v>720</v>
      </c>
      <c r="E4741" s="168">
        <v>300000000</v>
      </c>
      <c r="F4741" s="242">
        <v>190000000</v>
      </c>
      <c r="G4741" s="333">
        <f t="shared" si="281"/>
        <v>63.333333333333329</v>
      </c>
      <c r="H4741" s="114">
        <f>H4742</f>
        <v>63.333333333333329</v>
      </c>
      <c r="I4741" s="111"/>
    </row>
    <row r="4742" spans="1:9" ht="16.5" hidden="1" customHeight="1" x14ac:dyDescent="0.25">
      <c r="A4742" s="170"/>
      <c r="B4742" s="170"/>
      <c r="C4742" s="222"/>
      <c r="D4742" s="119" t="s">
        <v>3408</v>
      </c>
      <c r="E4742" s="169">
        <v>300000000</v>
      </c>
      <c r="F4742" s="243">
        <v>190000000</v>
      </c>
      <c r="G4742" s="333">
        <f t="shared" si="281"/>
        <v>63.333333333333329</v>
      </c>
      <c r="H4742" s="114">
        <f t="shared" ref="H4742:H4810" si="282">+G4742</f>
        <v>63.333333333333329</v>
      </c>
      <c r="I4742" s="111"/>
    </row>
    <row r="4743" spans="1:9" ht="16.5" hidden="1" customHeight="1" x14ac:dyDescent="0.25">
      <c r="A4743" s="170"/>
      <c r="B4743" s="170"/>
      <c r="C4743" s="222"/>
      <c r="D4743" s="217" t="s">
        <v>3409</v>
      </c>
      <c r="E4743" s="168">
        <v>1254000000</v>
      </c>
      <c r="F4743" s="242">
        <v>900000000</v>
      </c>
      <c r="G4743" s="333">
        <f t="shared" si="281"/>
        <v>71.770334928229659</v>
      </c>
      <c r="H4743" s="114">
        <f>H4744</f>
        <v>71.770334928229659</v>
      </c>
      <c r="I4743" s="111"/>
    </row>
    <row r="4744" spans="1:9" ht="16.5" hidden="1" customHeight="1" x14ac:dyDescent="0.25">
      <c r="A4744" s="170"/>
      <c r="B4744" s="170"/>
      <c r="C4744" s="222"/>
      <c r="D4744" s="119" t="s">
        <v>3410</v>
      </c>
      <c r="E4744" s="169">
        <v>1254000000</v>
      </c>
      <c r="F4744" s="243">
        <v>900000000</v>
      </c>
      <c r="G4744" s="333">
        <f t="shared" si="281"/>
        <v>71.770334928229659</v>
      </c>
      <c r="H4744" s="114">
        <f t="shared" si="282"/>
        <v>71.770334928229659</v>
      </c>
      <c r="I4744" s="111"/>
    </row>
    <row r="4745" spans="1:9" ht="16.5" hidden="1" customHeight="1" x14ac:dyDescent="0.25">
      <c r="A4745" s="170"/>
      <c r="B4745" s="170"/>
      <c r="C4745" s="222"/>
      <c r="D4745" s="119"/>
      <c r="E4745" s="169"/>
      <c r="F4745" s="108">
        <v>0</v>
      </c>
      <c r="G4745" s="333"/>
      <c r="H4745" s="114"/>
      <c r="I4745" s="111"/>
    </row>
    <row r="4746" spans="1:9" ht="16.5" hidden="1" customHeight="1" x14ac:dyDescent="0.25">
      <c r="A4746" s="170"/>
      <c r="B4746" s="170"/>
      <c r="C4746" s="222"/>
      <c r="D4746" s="217" t="s">
        <v>3411</v>
      </c>
      <c r="E4746" s="168">
        <f>E4747+E4750+E4754+E4756+E4759+E4761+E4764</f>
        <v>8654000000</v>
      </c>
      <c r="F4746" s="168">
        <f>+F4747+F4750+F4754+F4756+F4759+F4761+F4764</f>
        <v>7585687500</v>
      </c>
      <c r="G4746" s="333">
        <f t="shared" ref="G4746:G4763" si="283">F4746/E4746*100</f>
        <v>87.655275017333025</v>
      </c>
      <c r="H4746" s="114">
        <f>+G4746</f>
        <v>87.655275017333025</v>
      </c>
      <c r="I4746" s="111"/>
    </row>
    <row r="4747" spans="1:9" ht="16.5" hidden="1" customHeight="1" x14ac:dyDescent="0.25">
      <c r="A4747" s="170"/>
      <c r="B4747" s="170"/>
      <c r="C4747" s="222"/>
      <c r="D4747" s="217" t="s">
        <v>486</v>
      </c>
      <c r="E4747" s="168">
        <v>1352790000</v>
      </c>
      <c r="F4747" s="242">
        <v>906750000</v>
      </c>
      <c r="G4747" s="333">
        <f t="shared" si="283"/>
        <v>67.028141840196938</v>
      </c>
      <c r="H4747" s="114">
        <f t="shared" si="282"/>
        <v>67.028141840196938</v>
      </c>
      <c r="I4747" s="111"/>
    </row>
    <row r="4748" spans="1:9" ht="16.5" hidden="1" customHeight="1" x14ac:dyDescent="0.25">
      <c r="A4748" s="170"/>
      <c r="B4748" s="170"/>
      <c r="C4748" s="222"/>
      <c r="D4748" s="119" t="s">
        <v>3412</v>
      </c>
      <c r="E4748" s="169">
        <v>889000000</v>
      </c>
      <c r="F4748" s="243">
        <v>566750000</v>
      </c>
      <c r="G4748" s="333">
        <f t="shared" si="283"/>
        <v>63.751406074240727</v>
      </c>
      <c r="H4748" s="114">
        <f t="shared" si="282"/>
        <v>63.751406074240727</v>
      </c>
      <c r="I4748" s="111"/>
    </row>
    <row r="4749" spans="1:9" ht="16.5" hidden="1" customHeight="1" x14ac:dyDescent="0.25">
      <c r="A4749" s="170"/>
      <c r="B4749" s="170"/>
      <c r="C4749" s="222"/>
      <c r="D4749" s="119" t="s">
        <v>3413</v>
      </c>
      <c r="E4749" s="169">
        <v>463790000</v>
      </c>
      <c r="F4749" s="243">
        <v>340000000</v>
      </c>
      <c r="G4749" s="333">
        <f t="shared" si="283"/>
        <v>73.309040729640571</v>
      </c>
      <c r="H4749" s="114">
        <f t="shared" si="282"/>
        <v>73.309040729640571</v>
      </c>
      <c r="I4749" s="111"/>
    </row>
    <row r="4750" spans="1:9" ht="16.5" hidden="1" customHeight="1" x14ac:dyDescent="0.25">
      <c r="A4750" s="170"/>
      <c r="B4750" s="170"/>
      <c r="C4750" s="222"/>
      <c r="D4750" s="217" t="s">
        <v>319</v>
      </c>
      <c r="E4750" s="168">
        <v>1602690000</v>
      </c>
      <c r="F4750" s="242">
        <v>1483000000</v>
      </c>
      <c r="G4750" s="333">
        <f t="shared" si="283"/>
        <v>92.531930691524877</v>
      </c>
      <c r="H4750" s="114">
        <f t="shared" si="282"/>
        <v>92.531930691524877</v>
      </c>
      <c r="I4750" s="111"/>
    </row>
    <row r="4751" spans="1:9" ht="16.5" hidden="1" customHeight="1" x14ac:dyDescent="0.25">
      <c r="A4751" s="170"/>
      <c r="B4751" s="170"/>
      <c r="C4751" s="222"/>
      <c r="D4751" s="119" t="s">
        <v>3414</v>
      </c>
      <c r="E4751" s="169">
        <v>707500000</v>
      </c>
      <c r="F4751" s="243">
        <v>700000000</v>
      </c>
      <c r="G4751" s="333">
        <f t="shared" si="283"/>
        <v>98.939929328621915</v>
      </c>
      <c r="H4751" s="114">
        <f t="shared" si="282"/>
        <v>98.939929328621915</v>
      </c>
      <c r="I4751" s="111"/>
    </row>
    <row r="4752" spans="1:9" ht="16.5" hidden="1" customHeight="1" x14ac:dyDescent="0.25">
      <c r="A4752" s="170"/>
      <c r="B4752" s="170"/>
      <c r="C4752" s="222"/>
      <c r="D4752" s="119" t="s">
        <v>3415</v>
      </c>
      <c r="E4752" s="169">
        <v>382500000</v>
      </c>
      <c r="F4752" s="243">
        <v>280000000</v>
      </c>
      <c r="G4752" s="333">
        <f t="shared" si="283"/>
        <v>73.202614379084963</v>
      </c>
      <c r="H4752" s="114">
        <f t="shared" si="282"/>
        <v>73.202614379084963</v>
      </c>
      <c r="I4752" s="111"/>
    </row>
    <row r="4753" spans="1:9" ht="16.5" hidden="1" customHeight="1" x14ac:dyDescent="0.25">
      <c r="A4753" s="170"/>
      <c r="B4753" s="170"/>
      <c r="C4753" s="222"/>
      <c r="D4753" s="119" t="s">
        <v>3416</v>
      </c>
      <c r="E4753" s="169">
        <v>512690000</v>
      </c>
      <c r="F4753" s="243">
        <v>503000000</v>
      </c>
      <c r="G4753" s="333">
        <f t="shared" si="283"/>
        <v>98.109968987107223</v>
      </c>
      <c r="H4753" s="114">
        <f t="shared" si="282"/>
        <v>98.109968987107223</v>
      </c>
      <c r="I4753" s="111"/>
    </row>
    <row r="4754" spans="1:9" ht="16.5" hidden="1" customHeight="1" x14ac:dyDescent="0.25">
      <c r="A4754" s="170"/>
      <c r="B4754" s="170"/>
      <c r="C4754" s="222"/>
      <c r="D4754" s="217" t="s">
        <v>468</v>
      </c>
      <c r="E4754" s="168">
        <v>809000000</v>
      </c>
      <c r="F4754" s="242">
        <v>500000000</v>
      </c>
      <c r="G4754" s="333">
        <f t="shared" si="283"/>
        <v>61.804697156983934</v>
      </c>
      <c r="H4754" s="114">
        <f t="shared" si="282"/>
        <v>61.804697156983934</v>
      </c>
      <c r="I4754" s="111"/>
    </row>
    <row r="4755" spans="1:9" ht="16.5" hidden="1" customHeight="1" x14ac:dyDescent="0.25">
      <c r="A4755" s="170"/>
      <c r="B4755" s="170"/>
      <c r="C4755" s="222"/>
      <c r="D4755" s="119" t="s">
        <v>3417</v>
      </c>
      <c r="E4755" s="169">
        <v>809000000</v>
      </c>
      <c r="F4755" s="243">
        <v>500000000</v>
      </c>
      <c r="G4755" s="333">
        <f t="shared" si="283"/>
        <v>61.804697156983934</v>
      </c>
      <c r="H4755" s="114">
        <f t="shared" si="282"/>
        <v>61.804697156983934</v>
      </c>
      <c r="I4755" s="111"/>
    </row>
    <row r="4756" spans="1:9" ht="16.5" hidden="1" customHeight="1" x14ac:dyDescent="0.25">
      <c r="A4756" s="170"/>
      <c r="B4756" s="170"/>
      <c r="C4756" s="222"/>
      <c r="D4756" s="217" t="s">
        <v>496</v>
      </c>
      <c r="E4756" s="168">
        <v>1122250000</v>
      </c>
      <c r="F4756" s="242">
        <v>979937500</v>
      </c>
      <c r="G4756" s="333">
        <f t="shared" si="283"/>
        <v>87.319002004900867</v>
      </c>
      <c r="H4756" s="114">
        <f t="shared" si="282"/>
        <v>87.319002004900867</v>
      </c>
      <c r="I4756" s="111"/>
    </row>
    <row r="4757" spans="1:9" ht="16.5" hidden="1" customHeight="1" x14ac:dyDescent="0.25">
      <c r="A4757" s="170"/>
      <c r="B4757" s="170"/>
      <c r="C4757" s="222"/>
      <c r="D4757" s="119" t="s">
        <v>3418</v>
      </c>
      <c r="E4757" s="169">
        <v>217000000</v>
      </c>
      <c r="F4757" s="243">
        <v>130000000</v>
      </c>
      <c r="G4757" s="333">
        <f t="shared" si="283"/>
        <v>59.907834101382484</v>
      </c>
      <c r="H4757" s="114">
        <f t="shared" si="282"/>
        <v>59.907834101382484</v>
      </c>
      <c r="I4757" s="111"/>
    </row>
    <row r="4758" spans="1:9" ht="16.5" hidden="1" customHeight="1" x14ac:dyDescent="0.25">
      <c r="A4758" s="170"/>
      <c r="B4758" s="170"/>
      <c r="C4758" s="222"/>
      <c r="D4758" s="119" t="s">
        <v>3419</v>
      </c>
      <c r="E4758" s="169">
        <v>905250000</v>
      </c>
      <c r="F4758" s="243">
        <v>849937500</v>
      </c>
      <c r="G4758" s="333">
        <f t="shared" si="283"/>
        <v>93.889809444904728</v>
      </c>
      <c r="H4758" s="114">
        <f t="shared" si="282"/>
        <v>93.889809444904728</v>
      </c>
      <c r="I4758" s="111"/>
    </row>
    <row r="4759" spans="1:9" ht="16.5" hidden="1" customHeight="1" x14ac:dyDescent="0.25">
      <c r="A4759" s="170"/>
      <c r="B4759" s="170"/>
      <c r="C4759" s="222"/>
      <c r="D4759" s="217" t="s">
        <v>470</v>
      </c>
      <c r="E4759" s="168">
        <v>300000000</v>
      </c>
      <c r="F4759" s="242">
        <v>300000000</v>
      </c>
      <c r="G4759" s="333">
        <f t="shared" si="283"/>
        <v>100</v>
      </c>
      <c r="H4759" s="114">
        <f t="shared" si="282"/>
        <v>100</v>
      </c>
      <c r="I4759" s="111"/>
    </row>
    <row r="4760" spans="1:9" ht="16.5" hidden="1" customHeight="1" x14ac:dyDescent="0.25">
      <c r="A4760" s="170"/>
      <c r="B4760" s="170"/>
      <c r="C4760" s="222"/>
      <c r="D4760" s="119" t="s">
        <v>3420</v>
      </c>
      <c r="E4760" s="169">
        <v>300000000</v>
      </c>
      <c r="F4760" s="243">
        <v>300000000</v>
      </c>
      <c r="G4760" s="333">
        <f t="shared" si="283"/>
        <v>100</v>
      </c>
      <c r="H4760" s="114">
        <f t="shared" si="282"/>
        <v>100</v>
      </c>
      <c r="I4760" s="111"/>
    </row>
    <row r="4761" spans="1:9" ht="16.5" hidden="1" customHeight="1" x14ac:dyDescent="0.25">
      <c r="A4761" s="170"/>
      <c r="B4761" s="170"/>
      <c r="C4761" s="222"/>
      <c r="D4761" s="217" t="s">
        <v>512</v>
      </c>
      <c r="E4761" s="168">
        <v>621000000</v>
      </c>
      <c r="F4761" s="242">
        <v>616000000</v>
      </c>
      <c r="G4761" s="333">
        <f t="shared" si="283"/>
        <v>99.194847020933977</v>
      </c>
      <c r="H4761" s="114">
        <f t="shared" si="282"/>
        <v>99.194847020933977</v>
      </c>
      <c r="I4761" s="111"/>
    </row>
    <row r="4762" spans="1:9" ht="16.5" hidden="1" customHeight="1" x14ac:dyDescent="0.25">
      <c r="A4762" s="170"/>
      <c r="B4762" s="170"/>
      <c r="C4762" s="222"/>
      <c r="D4762" s="119" t="s">
        <v>3421</v>
      </c>
      <c r="E4762" s="169">
        <v>441000000</v>
      </c>
      <c r="F4762" s="243">
        <f>+E4762</f>
        <v>441000000</v>
      </c>
      <c r="G4762" s="333">
        <f t="shared" si="283"/>
        <v>100</v>
      </c>
      <c r="H4762" s="114">
        <f t="shared" si="282"/>
        <v>100</v>
      </c>
      <c r="I4762" s="111"/>
    </row>
    <row r="4763" spans="1:9" ht="16.5" hidden="1" customHeight="1" x14ac:dyDescent="0.25">
      <c r="A4763" s="170"/>
      <c r="B4763" s="170"/>
      <c r="C4763" s="222"/>
      <c r="D4763" s="119" t="s">
        <v>3422</v>
      </c>
      <c r="E4763" s="169">
        <v>180000000</v>
      </c>
      <c r="F4763" s="243">
        <v>174000000</v>
      </c>
      <c r="G4763" s="333">
        <f t="shared" si="283"/>
        <v>96.666666666666671</v>
      </c>
      <c r="H4763" s="114">
        <f t="shared" si="282"/>
        <v>96.666666666666671</v>
      </c>
      <c r="I4763" s="111"/>
    </row>
    <row r="4764" spans="1:9" ht="16.5" hidden="1" customHeight="1" x14ac:dyDescent="0.25">
      <c r="A4764" s="170"/>
      <c r="B4764" s="170"/>
      <c r="C4764" s="222"/>
      <c r="D4764" s="217" t="s">
        <v>517</v>
      </c>
      <c r="E4764" s="168">
        <v>2846270000</v>
      </c>
      <c r="F4764" s="242">
        <f>+F4765+F4766+F4767+F4768</f>
        <v>2800000000</v>
      </c>
      <c r="G4764" s="333">
        <f>+F4764/E4764*100</f>
        <v>98.374363640835199</v>
      </c>
      <c r="H4764" s="114">
        <f t="shared" si="282"/>
        <v>98.374363640835199</v>
      </c>
      <c r="I4764" s="111"/>
    </row>
    <row r="4765" spans="1:9" ht="16.5" hidden="1" customHeight="1" x14ac:dyDescent="0.25">
      <c r="A4765" s="170"/>
      <c r="B4765" s="170"/>
      <c r="C4765" s="222"/>
      <c r="D4765" s="119" t="s">
        <v>3423</v>
      </c>
      <c r="E4765" s="169">
        <v>1370000000</v>
      </c>
      <c r="F4765" s="243">
        <f>+E4765</f>
        <v>1370000000</v>
      </c>
      <c r="G4765" s="333">
        <f>F4765/E4765*100</f>
        <v>100</v>
      </c>
      <c r="H4765" s="114">
        <f t="shared" si="282"/>
        <v>100</v>
      </c>
      <c r="I4765" s="111"/>
    </row>
    <row r="4766" spans="1:9" ht="16.5" hidden="1" customHeight="1" x14ac:dyDescent="0.25">
      <c r="A4766" s="170"/>
      <c r="B4766" s="170"/>
      <c r="C4766" s="222"/>
      <c r="D4766" s="119" t="s">
        <v>3424</v>
      </c>
      <c r="E4766" s="169">
        <v>175770000</v>
      </c>
      <c r="F4766" s="243">
        <v>152000000</v>
      </c>
      <c r="G4766" s="333">
        <f>F4766/E4766*100</f>
        <v>86.476645616430559</v>
      </c>
      <c r="H4766" s="114">
        <f t="shared" si="282"/>
        <v>86.476645616430559</v>
      </c>
      <c r="I4766" s="111"/>
    </row>
    <row r="4767" spans="1:9" ht="16.5" hidden="1" customHeight="1" x14ac:dyDescent="0.25">
      <c r="A4767" s="170"/>
      <c r="B4767" s="170"/>
      <c r="C4767" s="222"/>
      <c r="D4767" s="119" t="s">
        <v>3425</v>
      </c>
      <c r="E4767" s="169">
        <v>697000000</v>
      </c>
      <c r="F4767" s="243">
        <f>+E4767</f>
        <v>697000000</v>
      </c>
      <c r="G4767" s="333">
        <f>F4767/E4767*100</f>
        <v>100</v>
      </c>
      <c r="H4767" s="114">
        <f t="shared" si="282"/>
        <v>100</v>
      </c>
      <c r="I4767" s="111"/>
    </row>
    <row r="4768" spans="1:9" ht="16.5" hidden="1" customHeight="1" x14ac:dyDescent="0.25">
      <c r="A4768" s="170"/>
      <c r="B4768" s="170"/>
      <c r="C4768" s="222"/>
      <c r="D4768" s="119" t="s">
        <v>3426</v>
      </c>
      <c r="E4768" s="169">
        <v>603500000</v>
      </c>
      <c r="F4768" s="243">
        <v>581000000</v>
      </c>
      <c r="G4768" s="333">
        <f>F4768/E4768*100</f>
        <v>96.271748135874063</v>
      </c>
      <c r="H4768" s="114">
        <f t="shared" si="282"/>
        <v>96.271748135874063</v>
      </c>
      <c r="I4768" s="111"/>
    </row>
    <row r="4769" spans="1:9" ht="16.5" hidden="1" customHeight="1" x14ac:dyDescent="0.25">
      <c r="A4769" s="170"/>
      <c r="B4769" s="170"/>
      <c r="C4769" s="222"/>
      <c r="D4769" s="119"/>
      <c r="E4769" s="169"/>
      <c r="F4769" s="243">
        <v>0</v>
      </c>
      <c r="G4769" s="333"/>
      <c r="H4769" s="114"/>
      <c r="I4769" s="111"/>
    </row>
    <row r="4770" spans="1:9" ht="16.5" hidden="1" customHeight="1" x14ac:dyDescent="0.25">
      <c r="A4770" s="170"/>
      <c r="B4770" s="170"/>
      <c r="C4770" s="222"/>
      <c r="D4770" s="217" t="s">
        <v>1446</v>
      </c>
      <c r="E4770" s="168">
        <f>SUM(E4772:E4773)</f>
        <v>2140000000</v>
      </c>
      <c r="F4770" s="242">
        <f>+F4771</f>
        <v>719000000</v>
      </c>
      <c r="G4770" s="333">
        <f>F4770/E4770*100</f>
        <v>33.598130841121495</v>
      </c>
      <c r="H4770" s="114">
        <f>+G4770</f>
        <v>33.598130841121495</v>
      </c>
      <c r="I4770" s="111"/>
    </row>
    <row r="4771" spans="1:9" ht="16.5" hidden="1" customHeight="1" x14ac:dyDescent="0.25">
      <c r="A4771" s="170"/>
      <c r="B4771" s="170"/>
      <c r="C4771" s="222"/>
      <c r="D4771" s="217" t="s">
        <v>418</v>
      </c>
      <c r="E4771" s="168">
        <v>2140000000</v>
      </c>
      <c r="F4771" s="242">
        <f>+F4772+F4773</f>
        <v>719000000</v>
      </c>
      <c r="G4771" s="333">
        <f>F4771/E4771*100</f>
        <v>33.598130841121495</v>
      </c>
      <c r="H4771" s="114">
        <f t="shared" ref="H4771:H4772" si="284">+G4771</f>
        <v>33.598130841121495</v>
      </c>
      <c r="I4771" s="111"/>
    </row>
    <row r="4772" spans="1:9" ht="16.5" hidden="1" customHeight="1" x14ac:dyDescent="0.25">
      <c r="A4772" s="170"/>
      <c r="B4772" s="170"/>
      <c r="C4772" s="222"/>
      <c r="D4772" s="119" t="s">
        <v>3351</v>
      </c>
      <c r="E4772" s="169">
        <v>1965870000</v>
      </c>
      <c r="F4772" s="558">
        <v>589000000</v>
      </c>
      <c r="G4772" s="333">
        <f>F4772/E4772*100</f>
        <v>29.961289403673693</v>
      </c>
      <c r="H4772" s="114">
        <f t="shared" si="284"/>
        <v>29.961289403673693</v>
      </c>
      <c r="I4772" s="111"/>
    </row>
    <row r="4773" spans="1:9" ht="16.5" hidden="1" customHeight="1" x14ac:dyDescent="0.25">
      <c r="A4773" s="170"/>
      <c r="B4773" s="170"/>
      <c r="C4773" s="222"/>
      <c r="D4773" s="119" t="s">
        <v>3427</v>
      </c>
      <c r="E4773" s="169">
        <v>174130000</v>
      </c>
      <c r="F4773" s="243">
        <v>130000000</v>
      </c>
      <c r="G4773" s="333">
        <f>F4773/E4773*100</f>
        <v>74.656865560213632</v>
      </c>
      <c r="H4773" s="114">
        <f t="shared" si="282"/>
        <v>74.656865560213632</v>
      </c>
      <c r="I4773" s="111"/>
    </row>
    <row r="4774" spans="1:9" ht="16.5" hidden="1" customHeight="1" x14ac:dyDescent="0.25">
      <c r="A4774" s="170"/>
      <c r="B4774" s="170"/>
      <c r="C4774" s="222"/>
      <c r="D4774" s="119"/>
      <c r="E4774" s="169"/>
      <c r="F4774" s="243">
        <v>0</v>
      </c>
      <c r="G4774" s="333"/>
      <c r="H4774" s="114"/>
      <c r="I4774" s="111"/>
    </row>
    <row r="4775" spans="1:9" ht="16.5" hidden="1" customHeight="1" x14ac:dyDescent="0.25">
      <c r="A4775" s="170"/>
      <c r="B4775" s="170"/>
      <c r="C4775" s="222"/>
      <c r="D4775" s="217" t="s">
        <v>3428</v>
      </c>
      <c r="E4775" s="168">
        <f>E4776+E4779</f>
        <v>11575000000</v>
      </c>
      <c r="F4775" s="242">
        <f>+F4776+F4779</f>
        <v>11480000000</v>
      </c>
      <c r="G4775" s="333">
        <f t="shared" ref="G4775:G4780" si="285">F4775/E4775*100</f>
        <v>99.179265658747298</v>
      </c>
      <c r="H4775" s="114">
        <f>+G4775</f>
        <v>99.179265658747298</v>
      </c>
      <c r="I4775" s="111"/>
    </row>
    <row r="4776" spans="1:9" ht="16.5" hidden="1" customHeight="1" x14ac:dyDescent="0.25">
      <c r="A4776" s="170"/>
      <c r="B4776" s="170"/>
      <c r="C4776" s="222"/>
      <c r="D4776" s="217" t="s">
        <v>1320</v>
      </c>
      <c r="E4776" s="168">
        <v>1575000000</v>
      </c>
      <c r="F4776" s="242">
        <v>1480000000</v>
      </c>
      <c r="G4776" s="333">
        <f t="shared" si="285"/>
        <v>93.968253968253961</v>
      </c>
      <c r="H4776" s="114">
        <f t="shared" ref="H4776:H4780" si="286">+G4776</f>
        <v>93.968253968253961</v>
      </c>
      <c r="I4776" s="111"/>
    </row>
    <row r="4777" spans="1:9" ht="16.5" hidden="1" customHeight="1" x14ac:dyDescent="0.25">
      <c r="A4777" s="170"/>
      <c r="B4777" s="170"/>
      <c r="C4777" s="222"/>
      <c r="D4777" s="119" t="s">
        <v>3429</v>
      </c>
      <c r="E4777" s="169">
        <v>575000000</v>
      </c>
      <c r="F4777" s="243">
        <v>430000000</v>
      </c>
      <c r="G4777" s="333">
        <f t="shared" si="285"/>
        <v>74.782608695652172</v>
      </c>
      <c r="H4777" s="114">
        <f t="shared" si="286"/>
        <v>74.782608695652172</v>
      </c>
      <c r="I4777" s="111"/>
    </row>
    <row r="4778" spans="1:9" ht="16.5" hidden="1" customHeight="1" x14ac:dyDescent="0.25">
      <c r="A4778" s="170"/>
      <c r="B4778" s="170"/>
      <c r="C4778" s="222"/>
      <c r="D4778" s="119" t="s">
        <v>3430</v>
      </c>
      <c r="E4778" s="169">
        <v>1000000000</v>
      </c>
      <c r="F4778" s="243">
        <f>+E4778</f>
        <v>1000000000</v>
      </c>
      <c r="G4778" s="333">
        <f t="shared" si="285"/>
        <v>100</v>
      </c>
      <c r="H4778" s="114">
        <f t="shared" si="286"/>
        <v>100</v>
      </c>
      <c r="I4778" s="111"/>
    </row>
    <row r="4779" spans="1:9" ht="16.5" hidden="1" customHeight="1" x14ac:dyDescent="0.25">
      <c r="A4779" s="170"/>
      <c r="B4779" s="170"/>
      <c r="C4779" s="222"/>
      <c r="D4779" s="217" t="s">
        <v>3431</v>
      </c>
      <c r="E4779" s="168">
        <v>10000000000</v>
      </c>
      <c r="F4779" s="242">
        <v>10000000000</v>
      </c>
      <c r="G4779" s="333">
        <f t="shared" si="285"/>
        <v>100</v>
      </c>
      <c r="H4779" s="114">
        <f t="shared" si="286"/>
        <v>100</v>
      </c>
      <c r="I4779" s="111"/>
    </row>
    <row r="4780" spans="1:9" ht="16.5" hidden="1" customHeight="1" x14ac:dyDescent="0.25">
      <c r="A4780" s="170"/>
      <c r="B4780" s="170"/>
      <c r="C4780" s="222"/>
      <c r="D4780" s="119" t="s">
        <v>3432</v>
      </c>
      <c r="E4780" s="169">
        <v>10000000000</v>
      </c>
      <c r="F4780" s="243">
        <v>10000000000</v>
      </c>
      <c r="G4780" s="333">
        <f t="shared" si="285"/>
        <v>100</v>
      </c>
      <c r="H4780" s="114">
        <f t="shared" si="286"/>
        <v>100</v>
      </c>
      <c r="I4780" s="111"/>
    </row>
    <row r="4781" spans="1:9" ht="16.5" hidden="1" customHeight="1" x14ac:dyDescent="0.25">
      <c r="A4781" s="170"/>
      <c r="B4781" s="170"/>
      <c r="C4781" s="222"/>
      <c r="D4781" s="119"/>
      <c r="E4781" s="169"/>
      <c r="F4781" s="243">
        <v>0</v>
      </c>
      <c r="G4781" s="333"/>
      <c r="H4781" s="114"/>
      <c r="I4781" s="111"/>
    </row>
    <row r="4782" spans="1:9" ht="16.5" hidden="1" customHeight="1" x14ac:dyDescent="0.25">
      <c r="A4782" s="170"/>
      <c r="B4782" s="170"/>
      <c r="C4782" s="222"/>
      <c r="D4782" s="217" t="s">
        <v>3433</v>
      </c>
      <c r="E4782" s="168">
        <f>E4783+E4786</f>
        <v>2894638568</v>
      </c>
      <c r="F4782" s="242">
        <f>+F4783+F4786</f>
        <v>2513000000</v>
      </c>
      <c r="G4782" s="333">
        <f t="shared" ref="G4782:G4790" si="287">F4782/E4782*100</f>
        <v>86.815674598584295</v>
      </c>
      <c r="H4782" s="114">
        <f>+G4782</f>
        <v>86.815674598584295</v>
      </c>
      <c r="I4782" s="111"/>
    </row>
    <row r="4783" spans="1:9" ht="18.75" hidden="1" customHeight="1" x14ac:dyDescent="0.25">
      <c r="A4783" s="170"/>
      <c r="B4783" s="170"/>
      <c r="C4783" s="222"/>
      <c r="D4783" s="217" t="s">
        <v>1671</v>
      </c>
      <c r="E4783" s="168">
        <v>1230000000</v>
      </c>
      <c r="F4783" s="242">
        <f>+F4784+F4785</f>
        <v>1065000000</v>
      </c>
      <c r="G4783" s="333">
        <f t="shared" si="287"/>
        <v>86.58536585365853</v>
      </c>
      <c r="H4783" s="114">
        <f t="shared" ref="H4783:H4797" si="288">+G4783</f>
        <v>86.58536585365853</v>
      </c>
      <c r="I4783" s="111"/>
    </row>
    <row r="4784" spans="1:9" ht="16.5" hidden="1" customHeight="1" x14ac:dyDescent="0.25">
      <c r="A4784" s="170"/>
      <c r="B4784" s="170"/>
      <c r="C4784" s="222"/>
      <c r="D4784" s="119" t="s">
        <v>3434</v>
      </c>
      <c r="E4784" s="169">
        <v>850000000</v>
      </c>
      <c r="F4784" s="243">
        <v>785000000</v>
      </c>
      <c r="G4784" s="333">
        <f t="shared" si="287"/>
        <v>92.352941176470594</v>
      </c>
      <c r="H4784" s="114">
        <f t="shared" si="288"/>
        <v>92.352941176470594</v>
      </c>
      <c r="I4784" s="111"/>
    </row>
    <row r="4785" spans="1:9" ht="16.5" hidden="1" customHeight="1" x14ac:dyDescent="0.25">
      <c r="A4785" s="170"/>
      <c r="B4785" s="170"/>
      <c r="C4785" s="222"/>
      <c r="D4785" s="119" t="s">
        <v>3435</v>
      </c>
      <c r="E4785" s="169">
        <v>380000000</v>
      </c>
      <c r="F4785" s="243">
        <v>280000000</v>
      </c>
      <c r="G4785" s="333">
        <f t="shared" si="287"/>
        <v>73.68421052631578</v>
      </c>
      <c r="H4785" s="114">
        <f t="shared" si="288"/>
        <v>73.68421052631578</v>
      </c>
      <c r="I4785" s="111"/>
    </row>
    <row r="4786" spans="1:9" ht="16.5" hidden="1" customHeight="1" x14ac:dyDescent="0.25">
      <c r="A4786" s="170"/>
      <c r="B4786" s="170"/>
      <c r="C4786" s="222"/>
      <c r="D4786" s="217" t="s">
        <v>364</v>
      </c>
      <c r="E4786" s="168">
        <v>1664638568</v>
      </c>
      <c r="F4786" s="242">
        <f>+F4787+F4788+F4789+F4790</f>
        <v>1448000000</v>
      </c>
      <c r="G4786" s="333">
        <f t="shared" si="287"/>
        <v>86.985849531271938</v>
      </c>
      <c r="H4786" s="114">
        <f t="shared" si="288"/>
        <v>86.985849531271938</v>
      </c>
      <c r="I4786" s="111"/>
    </row>
    <row r="4787" spans="1:9" ht="16.5" hidden="1" customHeight="1" x14ac:dyDescent="0.25">
      <c r="A4787" s="170"/>
      <c r="B4787" s="170"/>
      <c r="C4787" s="222"/>
      <c r="D4787" s="119" t="s">
        <v>3436</v>
      </c>
      <c r="E4787" s="169">
        <v>849638568</v>
      </c>
      <c r="F4787" s="243">
        <v>784000000</v>
      </c>
      <c r="G4787" s="333">
        <f t="shared" si="287"/>
        <v>92.274530550736486</v>
      </c>
      <c r="H4787" s="114">
        <f t="shared" si="288"/>
        <v>92.274530550736486</v>
      </c>
      <c r="I4787" s="111"/>
    </row>
    <row r="4788" spans="1:9" ht="16.5" hidden="1" customHeight="1" x14ac:dyDescent="0.25">
      <c r="A4788" s="170"/>
      <c r="B4788" s="170"/>
      <c r="C4788" s="222"/>
      <c r="D4788" s="119" t="s">
        <v>3437</v>
      </c>
      <c r="E4788" s="169">
        <v>425000000</v>
      </c>
      <c r="F4788" s="243">
        <v>310000000</v>
      </c>
      <c r="G4788" s="333">
        <f t="shared" si="287"/>
        <v>72.941176470588232</v>
      </c>
      <c r="H4788" s="114">
        <f t="shared" si="288"/>
        <v>72.941176470588232</v>
      </c>
      <c r="I4788" s="111"/>
    </row>
    <row r="4789" spans="1:9" ht="18.75" hidden="1" customHeight="1" x14ac:dyDescent="0.25">
      <c r="A4789" s="170"/>
      <c r="B4789" s="170"/>
      <c r="C4789" s="222"/>
      <c r="D4789" s="119" t="s">
        <v>3438</v>
      </c>
      <c r="E4789" s="169">
        <v>300000000</v>
      </c>
      <c r="F4789" s="243">
        <v>300000000</v>
      </c>
      <c r="G4789" s="333">
        <f t="shared" si="287"/>
        <v>100</v>
      </c>
      <c r="H4789" s="114">
        <f t="shared" si="288"/>
        <v>100</v>
      </c>
      <c r="I4789" s="111"/>
    </row>
    <row r="4790" spans="1:9" ht="16.5" hidden="1" customHeight="1" x14ac:dyDescent="0.25">
      <c r="A4790" s="170"/>
      <c r="B4790" s="170"/>
      <c r="C4790" s="222"/>
      <c r="D4790" s="119" t="s">
        <v>3439</v>
      </c>
      <c r="E4790" s="169">
        <v>90000000</v>
      </c>
      <c r="F4790" s="243">
        <v>54000000</v>
      </c>
      <c r="G4790" s="333">
        <f t="shared" si="287"/>
        <v>60</v>
      </c>
      <c r="H4790" s="114">
        <f t="shared" si="288"/>
        <v>60</v>
      </c>
      <c r="I4790" s="111"/>
    </row>
    <row r="4791" spans="1:9" ht="16.5" hidden="1" customHeight="1" x14ac:dyDescent="0.25">
      <c r="A4791" s="170"/>
      <c r="B4791" s="170"/>
      <c r="C4791" s="222"/>
      <c r="D4791" s="119"/>
      <c r="E4791" s="169"/>
      <c r="F4791" s="243">
        <v>0</v>
      </c>
      <c r="G4791" s="333"/>
      <c r="H4791" s="114">
        <f t="shared" si="288"/>
        <v>0</v>
      </c>
      <c r="I4791" s="111"/>
    </row>
    <row r="4792" spans="1:9" ht="16.5" hidden="1" customHeight="1" x14ac:dyDescent="0.25">
      <c r="A4792" s="170"/>
      <c r="B4792" s="170"/>
      <c r="C4792" s="222"/>
      <c r="D4792" s="217" t="s">
        <v>3440</v>
      </c>
      <c r="E4792" s="168">
        <f>E4793+E4795</f>
        <v>1322049432</v>
      </c>
      <c r="F4792" s="242">
        <f>+F4793+F4795</f>
        <v>1079000000</v>
      </c>
      <c r="G4792" s="333">
        <f t="shared" ref="G4792:G4797" si="289">F4792/E4792*100</f>
        <v>81.615707694657516</v>
      </c>
      <c r="H4792" s="114">
        <f t="shared" si="288"/>
        <v>81.615707694657516</v>
      </c>
      <c r="I4792" s="111"/>
    </row>
    <row r="4793" spans="1:9" ht="16.5" hidden="1" customHeight="1" x14ac:dyDescent="0.25">
      <c r="A4793" s="170"/>
      <c r="B4793" s="170"/>
      <c r="C4793" s="222"/>
      <c r="D4793" s="217" t="s">
        <v>3441</v>
      </c>
      <c r="E4793" s="168">
        <v>101648000</v>
      </c>
      <c r="F4793" s="242">
        <f>+F4794</f>
        <v>80000000</v>
      </c>
      <c r="G4793" s="333">
        <f t="shared" si="289"/>
        <v>78.702974972453958</v>
      </c>
      <c r="H4793" s="114">
        <f t="shared" si="288"/>
        <v>78.702974972453958</v>
      </c>
      <c r="I4793" s="111"/>
    </row>
    <row r="4794" spans="1:9" ht="16.5" hidden="1" customHeight="1" x14ac:dyDescent="0.25">
      <c r="A4794" s="170"/>
      <c r="B4794" s="170"/>
      <c r="C4794" s="222"/>
      <c r="D4794" s="119" t="s">
        <v>3442</v>
      </c>
      <c r="E4794" s="169">
        <v>101648000</v>
      </c>
      <c r="F4794" s="243">
        <v>80000000</v>
      </c>
      <c r="G4794" s="333">
        <f t="shared" si="289"/>
        <v>78.702974972453958</v>
      </c>
      <c r="H4794" s="114">
        <f t="shared" si="288"/>
        <v>78.702974972453958</v>
      </c>
      <c r="I4794" s="111"/>
    </row>
    <row r="4795" spans="1:9" ht="16.5" hidden="1" customHeight="1" x14ac:dyDescent="0.25">
      <c r="A4795" s="170"/>
      <c r="B4795" s="170"/>
      <c r="C4795" s="222"/>
      <c r="D4795" s="217" t="s">
        <v>3443</v>
      </c>
      <c r="E4795" s="168">
        <v>1220401432</v>
      </c>
      <c r="F4795" s="242">
        <f>+F4796+F4797</f>
        <v>999000000</v>
      </c>
      <c r="G4795" s="333">
        <f t="shared" si="289"/>
        <v>81.858311028268275</v>
      </c>
      <c r="H4795" s="114">
        <f t="shared" si="288"/>
        <v>81.858311028268275</v>
      </c>
      <c r="I4795" s="111"/>
    </row>
    <row r="4796" spans="1:9" ht="16.5" hidden="1" customHeight="1" x14ac:dyDescent="0.25">
      <c r="A4796" s="170"/>
      <c r="B4796" s="170"/>
      <c r="C4796" s="222"/>
      <c r="D4796" s="119" t="s">
        <v>3444</v>
      </c>
      <c r="E4796" s="169">
        <v>820794000</v>
      </c>
      <c r="F4796" s="243">
        <v>761000000</v>
      </c>
      <c r="G4796" s="333">
        <f t="shared" si="289"/>
        <v>92.715102693245811</v>
      </c>
      <c r="H4796" s="114">
        <f t="shared" si="288"/>
        <v>92.715102693245811</v>
      </c>
      <c r="I4796" s="111"/>
    </row>
    <row r="4797" spans="1:9" ht="16.5" hidden="1" customHeight="1" x14ac:dyDescent="0.25">
      <c r="C4797" s="222"/>
      <c r="D4797" s="119" t="s">
        <v>3445</v>
      </c>
      <c r="E4797" s="169">
        <v>399607432</v>
      </c>
      <c r="F4797" s="243">
        <v>238000000</v>
      </c>
      <c r="G4797" s="333">
        <f t="shared" si="289"/>
        <v>59.558451855820337</v>
      </c>
      <c r="H4797" s="114">
        <f t="shared" si="288"/>
        <v>59.558451855820337</v>
      </c>
      <c r="I4797" s="111"/>
    </row>
    <row r="4798" spans="1:9" ht="16.5" hidden="1" customHeight="1" x14ac:dyDescent="0.25">
      <c r="C4798" s="222"/>
      <c r="D4798" s="119"/>
      <c r="E4798" s="169"/>
      <c r="F4798" s="243">
        <v>0</v>
      </c>
      <c r="G4798" s="333"/>
      <c r="H4798" s="114"/>
      <c r="I4798" s="111"/>
    </row>
    <row r="4799" spans="1:9" ht="16.5" hidden="1" customHeight="1" x14ac:dyDescent="0.25">
      <c r="C4799" s="222"/>
      <c r="D4799" s="217" t="s">
        <v>3446</v>
      </c>
      <c r="E4799" s="169"/>
      <c r="F4799" s="243">
        <v>0</v>
      </c>
      <c r="G4799" s="333"/>
      <c r="H4799" s="114"/>
      <c r="I4799" s="111"/>
    </row>
    <row r="4800" spans="1:9" ht="16.5" hidden="1" customHeight="1" x14ac:dyDescent="0.25">
      <c r="C4800" s="222"/>
      <c r="D4800" s="217" t="s">
        <v>1127</v>
      </c>
      <c r="E4800" s="168">
        <f>SUM(E4802)</f>
        <v>3000000000</v>
      </c>
      <c r="F4800" s="242">
        <f>+F4801</f>
        <v>3000000000</v>
      </c>
      <c r="G4800" s="333">
        <f>F4800/E4800*100</f>
        <v>100</v>
      </c>
      <c r="H4800" s="114">
        <f t="shared" si="282"/>
        <v>100</v>
      </c>
      <c r="I4800" s="111"/>
    </row>
    <row r="4801" spans="3:9" ht="16.5" hidden="1" customHeight="1" x14ac:dyDescent="0.25">
      <c r="C4801" s="222"/>
      <c r="D4801" s="217" t="s">
        <v>3447</v>
      </c>
      <c r="E4801" s="168">
        <v>3000000000</v>
      </c>
      <c r="F4801" s="242">
        <f>+F4802</f>
        <v>3000000000</v>
      </c>
      <c r="G4801" s="333">
        <f>F4801/E4801*100</f>
        <v>100</v>
      </c>
      <c r="H4801" s="114">
        <f t="shared" si="282"/>
        <v>100</v>
      </c>
      <c r="I4801" s="111"/>
    </row>
    <row r="4802" spans="3:9" ht="16.5" hidden="1" customHeight="1" x14ac:dyDescent="0.25">
      <c r="C4802" s="222"/>
      <c r="D4802" s="119" t="s">
        <v>3448</v>
      </c>
      <c r="E4802" s="169">
        <v>3000000000</v>
      </c>
      <c r="F4802" s="243">
        <f>+E4802</f>
        <v>3000000000</v>
      </c>
      <c r="G4802" s="333">
        <f>F4802/E4802*100</f>
        <v>100</v>
      </c>
      <c r="H4802" s="114">
        <f t="shared" si="282"/>
        <v>100</v>
      </c>
      <c r="I4802" s="111"/>
    </row>
    <row r="4803" spans="3:9" ht="16.5" hidden="1" customHeight="1" x14ac:dyDescent="0.25">
      <c r="C4803" s="222"/>
      <c r="D4803" s="119"/>
      <c r="E4803" s="169"/>
      <c r="F4803" s="243">
        <v>0</v>
      </c>
      <c r="G4803" s="333"/>
      <c r="H4803" s="114"/>
      <c r="I4803" s="111"/>
    </row>
    <row r="4804" spans="3:9" ht="16.5" hidden="1" customHeight="1" x14ac:dyDescent="0.25">
      <c r="C4804" s="222"/>
      <c r="D4804" s="217" t="s">
        <v>3449</v>
      </c>
      <c r="E4804" s="168">
        <f>E4805</f>
        <v>15568550400</v>
      </c>
      <c r="F4804" s="242">
        <f>+F4805</f>
        <v>10000000000</v>
      </c>
      <c r="G4804" s="333">
        <f>F4804/E4804*100</f>
        <v>64.232055927313567</v>
      </c>
      <c r="H4804" s="114">
        <f t="shared" si="282"/>
        <v>64.232055927313567</v>
      </c>
      <c r="I4804" s="111"/>
    </row>
    <row r="4805" spans="3:9" ht="16.5" hidden="1" customHeight="1" x14ac:dyDescent="0.25">
      <c r="C4805" s="222"/>
      <c r="D4805" s="217" t="s">
        <v>729</v>
      </c>
      <c r="E4805" s="168">
        <v>15568550400</v>
      </c>
      <c r="F4805" s="242">
        <f>+F4806+F4807</f>
        <v>10000000000</v>
      </c>
      <c r="G4805" s="333">
        <f>F4805/E4805*100</f>
        <v>64.232055927313567</v>
      </c>
      <c r="H4805" s="114">
        <f t="shared" si="282"/>
        <v>64.232055927313567</v>
      </c>
      <c r="I4805" s="111"/>
    </row>
    <row r="4806" spans="3:9" ht="16.5" hidden="1" customHeight="1" x14ac:dyDescent="0.25">
      <c r="C4806" s="222"/>
      <c r="D4806" s="119" t="s">
        <v>3450</v>
      </c>
      <c r="E4806" s="169">
        <v>12500000000</v>
      </c>
      <c r="F4806" s="243">
        <v>8000000000</v>
      </c>
      <c r="G4806" s="333">
        <f>F4806/E4806*100</f>
        <v>64</v>
      </c>
      <c r="H4806" s="114">
        <f t="shared" si="282"/>
        <v>64</v>
      </c>
      <c r="I4806" s="111"/>
    </row>
    <row r="4807" spans="3:9" ht="16.5" hidden="1" customHeight="1" x14ac:dyDescent="0.25">
      <c r="C4807" s="222"/>
      <c r="D4807" s="119" t="s">
        <v>3451</v>
      </c>
      <c r="E4807" s="169">
        <v>3068550400</v>
      </c>
      <c r="F4807" s="243">
        <v>2000000000</v>
      </c>
      <c r="G4807" s="333">
        <f>F4807/E4807*100</f>
        <v>65.177355405340577</v>
      </c>
      <c r="H4807" s="114">
        <f t="shared" si="282"/>
        <v>65.177355405340577</v>
      </c>
      <c r="I4807" s="111"/>
    </row>
    <row r="4808" spans="3:9" ht="16.5" hidden="1" customHeight="1" x14ac:dyDescent="0.25">
      <c r="C4808" s="222"/>
      <c r="D4808" s="119"/>
      <c r="E4808" s="169"/>
      <c r="F4808" s="243">
        <v>0</v>
      </c>
      <c r="G4808" s="333"/>
      <c r="H4808" s="114"/>
      <c r="I4808" s="111"/>
    </row>
    <row r="4809" spans="3:9" ht="16.5" hidden="1" customHeight="1" x14ac:dyDescent="0.25">
      <c r="C4809" s="222"/>
      <c r="D4809" s="217" t="s">
        <v>1933</v>
      </c>
      <c r="E4809" s="168">
        <f>SUM(E4811)</f>
        <v>2500000000</v>
      </c>
      <c r="F4809" s="242">
        <f>+F4810</f>
        <v>1500000000</v>
      </c>
      <c r="G4809" s="333">
        <f>F4809/E4809*100</f>
        <v>60</v>
      </c>
      <c r="H4809" s="114">
        <f t="shared" si="282"/>
        <v>60</v>
      </c>
      <c r="I4809" s="111"/>
    </row>
    <row r="4810" spans="3:9" ht="16.5" hidden="1" customHeight="1" x14ac:dyDescent="0.25">
      <c r="C4810" s="222"/>
      <c r="D4810" s="217" t="s">
        <v>2851</v>
      </c>
      <c r="E4810" s="168">
        <v>2500000000</v>
      </c>
      <c r="F4810" s="242">
        <f>+F4811</f>
        <v>1500000000</v>
      </c>
      <c r="G4810" s="333">
        <f>F4810/E4810*100</f>
        <v>60</v>
      </c>
      <c r="H4810" s="114">
        <f t="shared" si="282"/>
        <v>60</v>
      </c>
      <c r="I4810" s="111"/>
    </row>
    <row r="4811" spans="3:9" ht="16.5" hidden="1" customHeight="1" x14ac:dyDescent="0.25">
      <c r="C4811" s="222"/>
      <c r="D4811" s="119" t="s">
        <v>3452</v>
      </c>
      <c r="E4811" s="169">
        <v>2500000000</v>
      </c>
      <c r="F4811" s="243">
        <v>1500000000</v>
      </c>
      <c r="G4811" s="333">
        <f>F4811/E4811*100</f>
        <v>60</v>
      </c>
      <c r="H4811" s="114">
        <f t="shared" ref="H4811:H4850" si="290">+G4811</f>
        <v>60</v>
      </c>
      <c r="I4811" s="111"/>
    </row>
    <row r="4812" spans="3:9" ht="16.5" hidden="1" customHeight="1" x14ac:dyDescent="0.25">
      <c r="C4812" s="222"/>
      <c r="D4812" s="119"/>
      <c r="E4812" s="169"/>
      <c r="F4812" s="243">
        <v>0</v>
      </c>
      <c r="G4812" s="333"/>
      <c r="H4812" s="114"/>
      <c r="I4812" s="111"/>
    </row>
    <row r="4813" spans="3:9" ht="16.5" hidden="1" customHeight="1" x14ac:dyDescent="0.25">
      <c r="C4813" s="222"/>
      <c r="D4813" s="217" t="s">
        <v>1134</v>
      </c>
      <c r="E4813" s="168">
        <f>SUM(E4815)</f>
        <v>200000000</v>
      </c>
      <c r="F4813" s="242">
        <v>0</v>
      </c>
      <c r="G4813" s="333">
        <f>F4813/E4813*100</f>
        <v>0</v>
      </c>
      <c r="H4813" s="114">
        <f t="shared" si="290"/>
        <v>0</v>
      </c>
      <c r="I4813" s="111"/>
    </row>
    <row r="4814" spans="3:9" ht="16.5" hidden="1" customHeight="1" x14ac:dyDescent="0.25">
      <c r="C4814" s="222"/>
      <c r="D4814" s="217" t="s">
        <v>932</v>
      </c>
      <c r="E4814" s="168">
        <v>200000000</v>
      </c>
      <c r="F4814" s="242">
        <v>0</v>
      </c>
      <c r="G4814" s="333">
        <f>F4814/E4814*100</f>
        <v>0</v>
      </c>
      <c r="H4814" s="114">
        <f t="shared" si="290"/>
        <v>0</v>
      </c>
      <c r="I4814" s="111"/>
    </row>
    <row r="4815" spans="3:9" ht="16.5" hidden="1" customHeight="1" x14ac:dyDescent="0.25">
      <c r="C4815" s="222"/>
      <c r="D4815" s="119" t="s">
        <v>3453</v>
      </c>
      <c r="E4815" s="169">
        <v>200000000</v>
      </c>
      <c r="F4815" s="243">
        <v>0</v>
      </c>
      <c r="G4815" s="333">
        <f>F4815/E4815*100</f>
        <v>0</v>
      </c>
      <c r="H4815" s="114">
        <f t="shared" si="290"/>
        <v>0</v>
      </c>
      <c r="I4815" s="111"/>
    </row>
    <row r="4816" spans="3:9" ht="16.5" hidden="1" customHeight="1" x14ac:dyDescent="0.25">
      <c r="C4816" s="222"/>
      <c r="D4816" s="119"/>
      <c r="E4816" s="169"/>
      <c r="F4816" s="243">
        <v>0</v>
      </c>
      <c r="G4816" s="333"/>
      <c r="H4816" s="114"/>
      <c r="I4816" s="111"/>
    </row>
    <row r="4817" spans="3:9" ht="16.5" hidden="1" customHeight="1" x14ac:dyDescent="0.25">
      <c r="C4817" s="222"/>
      <c r="D4817" s="217" t="s">
        <v>1473</v>
      </c>
      <c r="E4817" s="168">
        <f>+E4818</f>
        <v>3000000000</v>
      </c>
      <c r="F4817" s="242">
        <v>0</v>
      </c>
      <c r="G4817" s="333"/>
      <c r="H4817" s="114"/>
      <c r="I4817" s="111"/>
    </row>
    <row r="4818" spans="3:9" ht="16.5" hidden="1" customHeight="1" x14ac:dyDescent="0.25">
      <c r="C4818" s="222"/>
      <c r="D4818" s="217" t="s">
        <v>3454</v>
      </c>
      <c r="E4818" s="168">
        <f>SUM(E4820)</f>
        <v>3000000000</v>
      </c>
      <c r="F4818" s="242">
        <f>+F4819</f>
        <v>2250000000</v>
      </c>
      <c r="G4818" s="333">
        <f>F4818/E4818*100</f>
        <v>75</v>
      </c>
      <c r="H4818" s="114">
        <f t="shared" si="290"/>
        <v>75</v>
      </c>
      <c r="I4818" s="111"/>
    </row>
    <row r="4819" spans="3:9" ht="16.5" hidden="1" customHeight="1" x14ac:dyDescent="0.25">
      <c r="C4819" s="222"/>
      <c r="D4819" s="217" t="s">
        <v>3455</v>
      </c>
      <c r="E4819" s="168">
        <v>3000000000</v>
      </c>
      <c r="F4819" s="242">
        <f>+F4820</f>
        <v>2250000000</v>
      </c>
      <c r="G4819" s="333">
        <f>F4819/E4819*100</f>
        <v>75</v>
      </c>
      <c r="H4819" s="114">
        <f t="shared" si="290"/>
        <v>75</v>
      </c>
      <c r="I4819" s="111"/>
    </row>
    <row r="4820" spans="3:9" ht="16.5" hidden="1" customHeight="1" x14ac:dyDescent="0.25">
      <c r="C4820" s="222"/>
      <c r="D4820" s="119" t="s">
        <v>3456</v>
      </c>
      <c r="E4820" s="169">
        <v>3000000000</v>
      </c>
      <c r="F4820" s="243">
        <v>2250000000</v>
      </c>
      <c r="G4820" s="379">
        <f>F4820/E4820*100</f>
        <v>75</v>
      </c>
      <c r="H4820" s="117">
        <f t="shared" si="290"/>
        <v>75</v>
      </c>
      <c r="I4820" s="111"/>
    </row>
    <row r="4821" spans="3:9" ht="16.5" hidden="1" customHeight="1" x14ac:dyDescent="0.25">
      <c r="C4821" s="222"/>
      <c r="D4821" s="119"/>
      <c r="E4821" s="169"/>
      <c r="F4821" s="243">
        <v>0</v>
      </c>
      <c r="G4821" s="333"/>
      <c r="H4821" s="114"/>
      <c r="I4821" s="111"/>
    </row>
    <row r="4822" spans="3:9" ht="16.5" hidden="1" customHeight="1" x14ac:dyDescent="0.25">
      <c r="C4822" s="222"/>
      <c r="D4822" s="217" t="s">
        <v>3457</v>
      </c>
      <c r="E4822" s="168">
        <f>E4823+E4825</f>
        <v>2244278800</v>
      </c>
      <c r="F4822" s="242">
        <f>+F4823+F4825</f>
        <v>1683000000</v>
      </c>
      <c r="G4822" s="333">
        <f>F4822/E4822*100</f>
        <v>74.990682975751497</v>
      </c>
      <c r="H4822" s="114">
        <f t="shared" si="290"/>
        <v>74.990682975751497</v>
      </c>
      <c r="I4822" s="111"/>
    </row>
    <row r="4823" spans="3:9" ht="16.5" hidden="1" customHeight="1" x14ac:dyDescent="0.25">
      <c r="C4823" s="222"/>
      <c r="D4823" s="217" t="s">
        <v>2756</v>
      </c>
      <c r="E4823" s="168">
        <v>400000000</v>
      </c>
      <c r="F4823" s="242">
        <f>+F4824</f>
        <v>300000000</v>
      </c>
      <c r="G4823" s="333">
        <f>F4823/E4823*100</f>
        <v>75</v>
      </c>
      <c r="H4823" s="114">
        <f t="shared" si="290"/>
        <v>75</v>
      </c>
      <c r="I4823" s="111"/>
    </row>
    <row r="4824" spans="3:9" ht="16.5" hidden="1" customHeight="1" x14ac:dyDescent="0.25">
      <c r="C4824" s="222"/>
      <c r="D4824" s="119" t="s">
        <v>3458</v>
      </c>
      <c r="E4824" s="169">
        <v>400000000</v>
      </c>
      <c r="F4824" s="243">
        <v>300000000</v>
      </c>
      <c r="G4824" s="379">
        <f>F4824/E4824*100</f>
        <v>75</v>
      </c>
      <c r="H4824" s="117">
        <f t="shared" si="290"/>
        <v>75</v>
      </c>
      <c r="I4824" s="111"/>
    </row>
    <row r="4825" spans="3:9" ht="16.5" hidden="1" customHeight="1" x14ac:dyDescent="0.25">
      <c r="C4825" s="222"/>
      <c r="D4825" s="217" t="s">
        <v>3459</v>
      </c>
      <c r="E4825" s="168">
        <v>1844278800</v>
      </c>
      <c r="F4825" s="242">
        <f>+F4826</f>
        <v>1383000000</v>
      </c>
      <c r="G4825" s="333">
        <f>F4825/E4825*100</f>
        <v>74.988662234798781</v>
      </c>
      <c r="H4825" s="114">
        <f t="shared" si="290"/>
        <v>74.988662234798781</v>
      </c>
      <c r="I4825" s="111"/>
    </row>
    <row r="4826" spans="3:9" ht="16.5" hidden="1" customHeight="1" x14ac:dyDescent="0.25">
      <c r="C4826" s="222"/>
      <c r="D4826" s="119" t="s">
        <v>3460</v>
      </c>
      <c r="E4826" s="169">
        <v>1844278800</v>
      </c>
      <c r="F4826" s="243">
        <v>1383000000</v>
      </c>
      <c r="G4826" s="379">
        <f>F4826/E4826*100</f>
        <v>74.988662234798781</v>
      </c>
      <c r="H4826" s="117">
        <f t="shared" si="290"/>
        <v>74.988662234798781</v>
      </c>
      <c r="I4826" s="111"/>
    </row>
    <row r="4827" spans="3:9" ht="16.5" hidden="1" customHeight="1" x14ac:dyDescent="0.25">
      <c r="C4827" s="222"/>
      <c r="D4827" s="119"/>
      <c r="E4827" s="169"/>
      <c r="F4827" s="243">
        <v>0</v>
      </c>
      <c r="G4827" s="333"/>
      <c r="H4827" s="114"/>
      <c r="I4827" s="111"/>
    </row>
    <row r="4828" spans="3:9" ht="16.5" hidden="1" customHeight="1" x14ac:dyDescent="0.25">
      <c r="C4828" s="222"/>
      <c r="D4828" s="217" t="s">
        <v>3461</v>
      </c>
      <c r="E4828" s="168">
        <f>E4829+E4831</f>
        <v>1136286320</v>
      </c>
      <c r="F4828" s="242">
        <v>600000000</v>
      </c>
      <c r="G4828" s="333">
        <f>F4828/E4828*100</f>
        <v>52.803592671959656</v>
      </c>
      <c r="H4828" s="114">
        <f t="shared" si="290"/>
        <v>52.803592671959656</v>
      </c>
      <c r="I4828" s="111"/>
    </row>
    <row r="4829" spans="3:9" ht="16.5" hidden="1" customHeight="1" x14ac:dyDescent="0.25">
      <c r="C4829" s="222"/>
      <c r="D4829" s="217" t="s">
        <v>2105</v>
      </c>
      <c r="E4829" s="168">
        <v>239000000</v>
      </c>
      <c r="F4829" s="243">
        <v>100000000</v>
      </c>
      <c r="G4829" s="379">
        <f>F4829/E4829*100</f>
        <v>41.841004184100413</v>
      </c>
      <c r="H4829" s="117">
        <f t="shared" si="290"/>
        <v>41.841004184100413</v>
      </c>
      <c r="I4829" s="111"/>
    </row>
    <row r="4830" spans="3:9" ht="36" hidden="1" customHeight="1" x14ac:dyDescent="0.25">
      <c r="C4830" s="222"/>
      <c r="D4830" s="119" t="s">
        <v>3462</v>
      </c>
      <c r="E4830" s="169">
        <v>239000000</v>
      </c>
      <c r="F4830" s="243">
        <v>100000000</v>
      </c>
      <c r="G4830" s="379">
        <f>F4830/E4830*100</f>
        <v>41.841004184100413</v>
      </c>
      <c r="H4830" s="117">
        <f t="shared" si="290"/>
        <v>41.841004184100413</v>
      </c>
      <c r="I4830" s="111"/>
    </row>
    <row r="4831" spans="3:9" ht="16.5" hidden="1" customHeight="1" x14ac:dyDescent="0.25">
      <c r="C4831" s="222"/>
      <c r="D4831" s="217" t="s">
        <v>1482</v>
      </c>
      <c r="E4831" s="168">
        <v>897286320</v>
      </c>
      <c r="F4831" s="242">
        <v>500000000</v>
      </c>
      <c r="G4831" s="333">
        <f>F4831/E4831*100</f>
        <v>55.723573273690384</v>
      </c>
      <c r="H4831" s="114">
        <f t="shared" si="290"/>
        <v>55.723573273690384</v>
      </c>
      <c r="I4831" s="111"/>
    </row>
    <row r="4832" spans="3:9" ht="16.5" hidden="1" customHeight="1" x14ac:dyDescent="0.25">
      <c r="C4832" s="222"/>
      <c r="D4832" s="119" t="s">
        <v>3463</v>
      </c>
      <c r="E4832" s="169">
        <v>897286320</v>
      </c>
      <c r="F4832" s="243">
        <v>500000000</v>
      </c>
      <c r="G4832" s="379">
        <f>F4832/E4832*100</f>
        <v>55.723573273690384</v>
      </c>
      <c r="H4832" s="117">
        <f t="shared" si="290"/>
        <v>55.723573273690384</v>
      </c>
      <c r="I4832" s="111"/>
    </row>
    <row r="4833" spans="3:9" ht="16.5" hidden="1" customHeight="1" x14ac:dyDescent="0.25">
      <c r="C4833" s="222"/>
      <c r="D4833" s="119"/>
      <c r="E4833" s="169"/>
      <c r="F4833" s="243">
        <v>0</v>
      </c>
      <c r="G4833" s="333"/>
      <c r="H4833" s="114"/>
      <c r="I4833" s="111"/>
    </row>
    <row r="4834" spans="3:9" ht="16.5" hidden="1" customHeight="1" x14ac:dyDescent="0.25">
      <c r="C4834" s="222"/>
      <c r="D4834" s="217" t="s">
        <v>3464</v>
      </c>
      <c r="E4834" s="168">
        <f>+E4835</f>
        <v>1526855040</v>
      </c>
      <c r="F4834" s="242">
        <v>0</v>
      </c>
      <c r="G4834" s="333"/>
      <c r="H4834" s="114"/>
      <c r="I4834" s="111"/>
    </row>
    <row r="4835" spans="3:9" ht="16.5" hidden="1" customHeight="1" x14ac:dyDescent="0.25">
      <c r="C4835" s="222"/>
      <c r="D4835" s="217" t="s">
        <v>3465</v>
      </c>
      <c r="E4835" s="168">
        <f>SUM(E4837:E4838)</f>
        <v>1526855040</v>
      </c>
      <c r="F4835" s="242">
        <f>+F4836</f>
        <v>1000000000</v>
      </c>
      <c r="G4835" s="333">
        <f>F4835/E4835*100</f>
        <v>65.494102177505994</v>
      </c>
      <c r="H4835" s="114">
        <f t="shared" si="290"/>
        <v>65.494102177505994</v>
      </c>
      <c r="I4835" s="111"/>
    </row>
    <row r="4836" spans="3:9" ht="16.5" hidden="1" customHeight="1" x14ac:dyDescent="0.25">
      <c r="C4836" s="222"/>
      <c r="D4836" s="217" t="s">
        <v>792</v>
      </c>
      <c r="E4836" s="168">
        <v>1526855040</v>
      </c>
      <c r="F4836" s="242">
        <f>+F4837+F4838</f>
        <v>1000000000</v>
      </c>
      <c r="G4836" s="333">
        <f>F4836/E4836*100</f>
        <v>65.494102177505994</v>
      </c>
      <c r="H4836" s="114">
        <f t="shared" si="290"/>
        <v>65.494102177505994</v>
      </c>
      <c r="I4836" s="111"/>
    </row>
    <row r="4837" spans="3:9" ht="21.75" hidden="1" customHeight="1" x14ac:dyDescent="0.25">
      <c r="C4837" s="222"/>
      <c r="D4837" s="119" t="s">
        <v>3466</v>
      </c>
      <c r="E4837" s="169">
        <v>894325040</v>
      </c>
      <c r="F4837" s="243">
        <v>600000000</v>
      </c>
      <c r="G4837" s="379">
        <f>F4837/E4837*100</f>
        <v>67.089701525074148</v>
      </c>
      <c r="H4837" s="117">
        <f t="shared" si="290"/>
        <v>67.089701525074148</v>
      </c>
      <c r="I4837" s="111"/>
    </row>
    <row r="4838" spans="3:9" ht="16.5" hidden="1" customHeight="1" x14ac:dyDescent="0.25">
      <c r="C4838" s="222"/>
      <c r="D4838" s="119" t="s">
        <v>3467</v>
      </c>
      <c r="E4838" s="169">
        <v>632530000</v>
      </c>
      <c r="F4838" s="243">
        <v>400000000</v>
      </c>
      <c r="G4838" s="379">
        <f>F4838/E4838*100</f>
        <v>63.238107283449011</v>
      </c>
      <c r="H4838" s="117">
        <f t="shared" si="290"/>
        <v>63.238107283449011</v>
      </c>
      <c r="I4838" s="111"/>
    </row>
    <row r="4839" spans="3:9" ht="16.5" hidden="1" customHeight="1" x14ac:dyDescent="0.25">
      <c r="C4839" s="222"/>
      <c r="D4839" s="119"/>
      <c r="E4839" s="169"/>
      <c r="F4839" s="243">
        <v>0</v>
      </c>
      <c r="G4839" s="333"/>
      <c r="H4839" s="114"/>
      <c r="I4839" s="111"/>
    </row>
    <row r="4840" spans="3:9" ht="27" hidden="1" customHeight="1" x14ac:dyDescent="0.25">
      <c r="C4840" s="222"/>
      <c r="D4840" s="249" t="s">
        <v>3468</v>
      </c>
      <c r="E4840" s="168">
        <f>SUM(E4842)</f>
        <v>600000000</v>
      </c>
      <c r="F4840" s="242">
        <f>+F4841</f>
        <v>350000000</v>
      </c>
      <c r="G4840" s="333">
        <f>F4840/E4840*100</f>
        <v>58.333333333333336</v>
      </c>
      <c r="H4840" s="114">
        <f t="shared" si="290"/>
        <v>58.333333333333336</v>
      </c>
      <c r="I4840" s="111"/>
    </row>
    <row r="4841" spans="3:9" ht="16.5" hidden="1" customHeight="1" x14ac:dyDescent="0.25">
      <c r="C4841" s="222"/>
      <c r="D4841" s="249" t="s">
        <v>789</v>
      </c>
      <c r="E4841" s="168">
        <v>600000000</v>
      </c>
      <c r="F4841" s="242">
        <f>+F4842</f>
        <v>350000000</v>
      </c>
      <c r="G4841" s="333">
        <f>F4841/E4841*100</f>
        <v>58.333333333333336</v>
      </c>
      <c r="H4841" s="114">
        <f t="shared" si="290"/>
        <v>58.333333333333336</v>
      </c>
      <c r="I4841" s="111"/>
    </row>
    <row r="4842" spans="3:9" ht="12.75" hidden="1" customHeight="1" x14ac:dyDescent="0.25">
      <c r="C4842" s="222"/>
      <c r="D4842" s="119" t="s">
        <v>3469</v>
      </c>
      <c r="E4842" s="169">
        <v>600000000</v>
      </c>
      <c r="F4842" s="243">
        <v>350000000</v>
      </c>
      <c r="G4842" s="379">
        <f>F4842/E4842*100</f>
        <v>58.333333333333336</v>
      </c>
      <c r="H4842" s="117">
        <f t="shared" ref="H4842" si="291">+G4842</f>
        <v>58.333333333333336</v>
      </c>
      <c r="I4842" s="111"/>
    </row>
    <row r="4843" spans="3:9" ht="12.75" hidden="1" customHeight="1" x14ac:dyDescent="0.25">
      <c r="C4843" s="222"/>
      <c r="D4843" s="249"/>
      <c r="E4843" s="169"/>
      <c r="F4843" s="242">
        <v>0</v>
      </c>
      <c r="G4843" s="333"/>
      <c r="H4843" s="114"/>
      <c r="I4843" s="111"/>
    </row>
    <row r="4844" spans="3:9" ht="16.5" hidden="1" customHeight="1" x14ac:dyDescent="0.25">
      <c r="C4844" s="222"/>
      <c r="D4844" s="249" t="s">
        <v>1124</v>
      </c>
      <c r="E4844" s="168">
        <f>SUM(E4846)</f>
        <v>1450800000</v>
      </c>
      <c r="F4844" s="242">
        <f>+F4845</f>
        <v>1000000000</v>
      </c>
      <c r="G4844" s="333">
        <f>F4844/E4844*100</f>
        <v>68.927488282326991</v>
      </c>
      <c r="H4844" s="114">
        <f t="shared" si="290"/>
        <v>68.927488282326991</v>
      </c>
      <c r="I4844" s="111"/>
    </row>
    <row r="4845" spans="3:9" ht="16.5" hidden="1" customHeight="1" x14ac:dyDescent="0.25">
      <c r="C4845" s="222"/>
      <c r="D4845" s="249" t="s">
        <v>874</v>
      </c>
      <c r="E4845" s="168">
        <v>1450800000</v>
      </c>
      <c r="F4845" s="242">
        <f>+F4846</f>
        <v>1000000000</v>
      </c>
      <c r="G4845" s="333">
        <f>F4845/E4845*100</f>
        <v>68.927488282326991</v>
      </c>
      <c r="H4845" s="114">
        <f t="shared" si="290"/>
        <v>68.927488282326991</v>
      </c>
      <c r="I4845" s="111"/>
    </row>
    <row r="4846" spans="3:9" ht="16.5" hidden="1" customHeight="1" x14ac:dyDescent="0.25">
      <c r="C4846" s="222"/>
      <c r="D4846" s="119" t="s">
        <v>3470</v>
      </c>
      <c r="E4846" s="169">
        <v>1450800000</v>
      </c>
      <c r="F4846" s="243">
        <v>1000000000</v>
      </c>
      <c r="G4846" s="379">
        <f>F4846/E4846*100</f>
        <v>68.927488282326991</v>
      </c>
      <c r="H4846" s="117">
        <f t="shared" si="290"/>
        <v>68.927488282326991</v>
      </c>
      <c r="I4846" s="111"/>
    </row>
    <row r="4847" spans="3:9" ht="16.5" hidden="1" customHeight="1" x14ac:dyDescent="0.25">
      <c r="C4847" s="222"/>
      <c r="D4847" s="119"/>
      <c r="E4847" s="169"/>
      <c r="F4847" s="242">
        <v>0</v>
      </c>
      <c r="G4847" s="333"/>
      <c r="H4847" s="114"/>
      <c r="I4847" s="111"/>
    </row>
    <row r="4848" spans="3:9" ht="16.5" hidden="1" customHeight="1" x14ac:dyDescent="0.25">
      <c r="C4848" s="222"/>
      <c r="D4848" s="249" t="s">
        <v>3471</v>
      </c>
      <c r="E4848" s="168">
        <f>SUM(E4850)</f>
        <v>676055040</v>
      </c>
      <c r="F4848" s="242">
        <f>+F4849</f>
        <v>410000000</v>
      </c>
      <c r="G4848" s="333">
        <f>F4848/E4848*100</f>
        <v>60.645949773556893</v>
      </c>
      <c r="H4848" s="114">
        <f t="shared" si="290"/>
        <v>60.645949773556893</v>
      </c>
      <c r="I4848" s="111"/>
    </row>
    <row r="4849" spans="3:9" ht="16.5" hidden="1" customHeight="1" x14ac:dyDescent="0.25">
      <c r="C4849" s="222"/>
      <c r="D4849" s="249" t="s">
        <v>3472</v>
      </c>
      <c r="E4849" s="168">
        <v>676055040</v>
      </c>
      <c r="F4849" s="242">
        <f>+F4850</f>
        <v>410000000</v>
      </c>
      <c r="G4849" s="333">
        <f>F4849/E4849*100</f>
        <v>60.645949773556893</v>
      </c>
      <c r="H4849" s="114">
        <f t="shared" si="290"/>
        <v>60.645949773556893</v>
      </c>
      <c r="I4849" s="111"/>
    </row>
    <row r="4850" spans="3:9" ht="16.5" hidden="1" customHeight="1" x14ac:dyDescent="0.25">
      <c r="C4850" s="222"/>
      <c r="D4850" s="119" t="s">
        <v>3473</v>
      </c>
      <c r="E4850" s="169">
        <v>676055040</v>
      </c>
      <c r="F4850" s="243">
        <v>410000000</v>
      </c>
      <c r="G4850" s="379">
        <f>F4850/E4850*100</f>
        <v>60.645949773556893</v>
      </c>
      <c r="H4850" s="117">
        <f t="shared" si="290"/>
        <v>60.645949773556893</v>
      </c>
      <c r="I4850" s="111"/>
    </row>
    <row r="4851" spans="3:9" ht="16.5" hidden="1" customHeight="1" x14ac:dyDescent="0.25">
      <c r="C4851" s="222"/>
      <c r="D4851" s="48"/>
      <c r="E4851" s="107"/>
      <c r="F4851" s="108"/>
      <c r="G4851" s="117"/>
      <c r="H4851" s="117"/>
      <c r="I4851" s="111"/>
    </row>
    <row r="4852" spans="3:9" ht="14.25" customHeight="1" x14ac:dyDescent="0.25">
      <c r="C4852" s="222" t="s">
        <v>3474</v>
      </c>
      <c r="D4852" s="48" t="s">
        <v>3475</v>
      </c>
      <c r="E4852" s="120">
        <f>+E4853+E4880+E4895+E4906+E4914+E4918+E4926+E4934+E4938+E4942+E4946+E4952+E4956</f>
        <v>120107732000</v>
      </c>
      <c r="F4852" s="113">
        <f>+F4853+F4880+F4895+F4906+F4914+F4918+F4926+F4934+F4938+F4942+F4946+F4952+F4956</f>
        <v>117048417830</v>
      </c>
      <c r="G4852" s="114">
        <f t="shared" ref="G4852:G4867" si="292">+F4852/E4852*100</f>
        <v>97.452858263945913</v>
      </c>
      <c r="H4852" s="114">
        <f>(H4854+H4869+H4880+H4895+H4906+H4914+H4918+H4926+H4934+H4938+H4942+H4946++H4952+H4956)/14</f>
        <v>96.168499488987351</v>
      </c>
      <c r="I4852" s="111" t="s">
        <v>677</v>
      </c>
    </row>
    <row r="4853" spans="3:9" ht="14.25" hidden="1" customHeight="1" x14ac:dyDescent="0.25">
      <c r="C4853" s="222"/>
      <c r="D4853" s="48" t="s">
        <v>2547</v>
      </c>
      <c r="E4853" s="112">
        <f>SUM(E4854,E4869)</f>
        <v>36278680400</v>
      </c>
      <c r="F4853" s="113">
        <f>+F4854+F4869</f>
        <v>34939931000</v>
      </c>
      <c r="G4853" s="114">
        <f t="shared" si="292"/>
        <v>96.309817817960109</v>
      </c>
      <c r="H4853" s="114">
        <v>69.053719267032662</v>
      </c>
      <c r="I4853" s="111"/>
    </row>
    <row r="4854" spans="3:9" ht="14.25" hidden="1" customHeight="1" x14ac:dyDescent="0.25">
      <c r="C4854" s="222"/>
      <c r="D4854" s="121" t="s">
        <v>3476</v>
      </c>
      <c r="E4854" s="112">
        <f>E4855+E4857+E4864+E4866</f>
        <v>18246180400</v>
      </c>
      <c r="F4854" s="242">
        <f>SUM(F4855,F4857,F4864,F4866)</f>
        <v>18207931000</v>
      </c>
      <c r="G4854" s="342">
        <f t="shared" si="292"/>
        <v>99.790370372530134</v>
      </c>
      <c r="H4854" s="342">
        <f>(SUM(H4855,H4857,H4864,H4866))/4</f>
        <v>100</v>
      </c>
      <c r="I4854" s="111"/>
    </row>
    <row r="4855" spans="3:9" ht="14.25" hidden="1" customHeight="1" x14ac:dyDescent="0.25">
      <c r="C4855" s="222"/>
      <c r="D4855" s="335" t="s">
        <v>3477</v>
      </c>
      <c r="E4855" s="112">
        <f>E4856</f>
        <v>100000000</v>
      </c>
      <c r="F4855" s="242">
        <f>F4856</f>
        <v>100000000</v>
      </c>
      <c r="G4855" s="342">
        <f t="shared" si="292"/>
        <v>100</v>
      </c>
      <c r="H4855" s="342">
        <f>H4856</f>
        <v>100</v>
      </c>
      <c r="I4855" s="111"/>
    </row>
    <row r="4856" spans="3:9" ht="14.25" hidden="1" customHeight="1" x14ac:dyDescent="0.25">
      <c r="C4856" s="222"/>
      <c r="D4856" s="338" t="s">
        <v>985</v>
      </c>
      <c r="E4856" s="169">
        <v>100000000</v>
      </c>
      <c r="F4856" s="243">
        <v>100000000</v>
      </c>
      <c r="G4856" s="343">
        <f t="shared" si="292"/>
        <v>100</v>
      </c>
      <c r="H4856" s="343">
        <v>100</v>
      </c>
      <c r="I4856" s="111"/>
    </row>
    <row r="4857" spans="3:9" ht="14.25" hidden="1" customHeight="1" x14ac:dyDescent="0.25">
      <c r="C4857" s="222"/>
      <c r="D4857" s="335" t="s">
        <v>3478</v>
      </c>
      <c r="E4857" s="112">
        <f>SUM(E4858:E4863)</f>
        <v>15492780400</v>
      </c>
      <c r="F4857" s="242">
        <f>SUM(F4858:F4863)</f>
        <v>15454531000</v>
      </c>
      <c r="G4857" s="342">
        <f t="shared" si="292"/>
        <v>99.753114683017131</v>
      </c>
      <c r="H4857" s="342">
        <f>SUM(H4858:H4863)/6</f>
        <v>100</v>
      </c>
      <c r="I4857" s="111"/>
    </row>
    <row r="4858" spans="3:9" ht="14.25" hidden="1" customHeight="1" x14ac:dyDescent="0.25">
      <c r="C4858" s="222"/>
      <c r="D4858" s="338" t="s">
        <v>3479</v>
      </c>
      <c r="E4858" s="169">
        <v>1650000000</v>
      </c>
      <c r="F4858" s="243">
        <v>1645000000</v>
      </c>
      <c r="G4858" s="343">
        <f t="shared" si="292"/>
        <v>99.696969696969688</v>
      </c>
      <c r="H4858" s="343">
        <v>100</v>
      </c>
      <c r="I4858" s="111"/>
    </row>
    <row r="4859" spans="3:9" ht="14.25" hidden="1" customHeight="1" x14ac:dyDescent="0.25">
      <c r="C4859" s="222"/>
      <c r="D4859" s="339" t="s">
        <v>2870</v>
      </c>
      <c r="E4859" s="169">
        <v>1164000000</v>
      </c>
      <c r="F4859" s="243">
        <v>1161300000</v>
      </c>
      <c r="G4859" s="343">
        <f t="shared" si="292"/>
        <v>99.768041237113408</v>
      </c>
      <c r="H4859" s="343">
        <v>100</v>
      </c>
      <c r="I4859" s="111"/>
    </row>
    <row r="4860" spans="3:9" ht="14.25" hidden="1" customHeight="1" x14ac:dyDescent="0.25">
      <c r="C4860" s="222"/>
      <c r="D4860" s="339" t="s">
        <v>3480</v>
      </c>
      <c r="E4860" s="169">
        <v>614000000</v>
      </c>
      <c r="F4860" s="243">
        <v>613868000</v>
      </c>
      <c r="G4860" s="343">
        <f t="shared" si="292"/>
        <v>99.978501628664489</v>
      </c>
      <c r="H4860" s="343">
        <v>100</v>
      </c>
      <c r="I4860" s="111"/>
    </row>
    <row r="4861" spans="3:9" ht="14.25" hidden="1" customHeight="1" x14ac:dyDescent="0.25">
      <c r="C4861" s="222"/>
      <c r="D4861" s="339" t="s">
        <v>3481</v>
      </c>
      <c r="E4861" s="169">
        <v>666600000</v>
      </c>
      <c r="F4861" s="243">
        <v>665386000</v>
      </c>
      <c r="G4861" s="343">
        <f t="shared" si="292"/>
        <v>99.817881788178823</v>
      </c>
      <c r="H4861" s="343">
        <v>100</v>
      </c>
      <c r="I4861" s="111"/>
    </row>
    <row r="4862" spans="3:9" ht="16.5" hidden="1" customHeight="1" x14ac:dyDescent="0.25">
      <c r="C4862" s="222"/>
      <c r="D4862" s="339" t="s">
        <v>3482</v>
      </c>
      <c r="E4862" s="169">
        <v>8898180400</v>
      </c>
      <c r="F4862" s="243">
        <v>8868977000</v>
      </c>
      <c r="G4862" s="343">
        <f t="shared" si="292"/>
        <v>99.671804810790306</v>
      </c>
      <c r="H4862" s="343">
        <v>100</v>
      </c>
      <c r="I4862" s="111"/>
    </row>
    <row r="4863" spans="3:9" ht="16.5" hidden="1" customHeight="1" x14ac:dyDescent="0.25">
      <c r="C4863" s="222"/>
      <c r="D4863" s="338" t="s">
        <v>3483</v>
      </c>
      <c r="E4863" s="169">
        <v>2500000000</v>
      </c>
      <c r="F4863" s="243">
        <v>2500000000</v>
      </c>
      <c r="G4863" s="343">
        <f t="shared" si="292"/>
        <v>100</v>
      </c>
      <c r="H4863" s="343">
        <v>100</v>
      </c>
      <c r="I4863" s="111"/>
    </row>
    <row r="4864" spans="3:9" ht="16.5" hidden="1" customHeight="1" x14ac:dyDescent="0.25">
      <c r="C4864" s="222"/>
      <c r="D4864" s="335" t="s">
        <v>3484</v>
      </c>
      <c r="E4864" s="168">
        <f>E4865</f>
        <v>200000000</v>
      </c>
      <c r="F4864" s="242">
        <f>F4865</f>
        <v>200000000</v>
      </c>
      <c r="G4864" s="342">
        <f t="shared" si="292"/>
        <v>100</v>
      </c>
      <c r="H4864" s="343">
        <v>100</v>
      </c>
      <c r="I4864" s="111"/>
    </row>
    <row r="4865" spans="3:9" ht="16.5" hidden="1" customHeight="1" x14ac:dyDescent="0.25">
      <c r="C4865" s="222"/>
      <c r="D4865" s="338" t="s">
        <v>3485</v>
      </c>
      <c r="E4865" s="169">
        <v>200000000</v>
      </c>
      <c r="F4865" s="243">
        <v>200000000</v>
      </c>
      <c r="G4865" s="343">
        <f t="shared" si="292"/>
        <v>100</v>
      </c>
      <c r="H4865" s="343">
        <v>100</v>
      </c>
      <c r="I4865" s="111"/>
    </row>
    <row r="4866" spans="3:9" ht="16.5" hidden="1" customHeight="1" x14ac:dyDescent="0.25">
      <c r="C4866" s="222"/>
      <c r="D4866" s="335" t="s">
        <v>3486</v>
      </c>
      <c r="E4866" s="112">
        <f>E4867</f>
        <v>2453400000</v>
      </c>
      <c r="F4866" s="242">
        <f>F4867</f>
        <v>2453400000</v>
      </c>
      <c r="G4866" s="342">
        <f t="shared" si="292"/>
        <v>100</v>
      </c>
      <c r="H4866" s="343">
        <v>100</v>
      </c>
      <c r="I4866" s="111"/>
    </row>
    <row r="4867" spans="3:9" ht="36" hidden="1" customHeight="1" x14ac:dyDescent="0.25">
      <c r="C4867" s="222"/>
      <c r="D4867" s="339" t="s">
        <v>3487</v>
      </c>
      <c r="E4867" s="169">
        <v>2453400000</v>
      </c>
      <c r="F4867" s="243">
        <v>2453400000</v>
      </c>
      <c r="G4867" s="343">
        <f t="shared" si="292"/>
        <v>100</v>
      </c>
      <c r="H4867" s="343">
        <v>100</v>
      </c>
      <c r="I4867" s="111"/>
    </row>
    <row r="4868" spans="3:9" ht="16.5" hidden="1" customHeight="1" x14ac:dyDescent="0.25">
      <c r="C4868" s="222"/>
      <c r="D4868" s="339"/>
      <c r="E4868" s="169"/>
      <c r="F4868" s="108"/>
      <c r="G4868" s="342"/>
      <c r="H4868" s="340"/>
      <c r="I4868" s="111"/>
    </row>
    <row r="4869" spans="3:9" ht="16.5" hidden="1" customHeight="1" x14ac:dyDescent="0.25">
      <c r="C4869" s="222"/>
      <c r="D4869" s="121" t="s">
        <v>3488</v>
      </c>
      <c r="E4869" s="112">
        <f>E4870</f>
        <v>18032500000</v>
      </c>
      <c r="F4869" s="242">
        <f>F4870</f>
        <v>16732000000</v>
      </c>
      <c r="G4869" s="342">
        <f t="shared" ref="G4869:G4878" si="293">+F4869/E4869*100</f>
        <v>92.7880216276168</v>
      </c>
      <c r="H4869" s="342">
        <f>H4870</f>
        <v>62.5</v>
      </c>
      <c r="I4869" s="111"/>
    </row>
    <row r="4870" spans="3:9" ht="16.5" hidden="1" customHeight="1" x14ac:dyDescent="0.25">
      <c r="C4870" s="222"/>
      <c r="D4870" s="121" t="s">
        <v>3489</v>
      </c>
      <c r="E4870" s="112">
        <f>SUM(E4871:E4878)</f>
        <v>18032500000</v>
      </c>
      <c r="F4870" s="242">
        <f>SUM(F4871:F4878)</f>
        <v>16732000000</v>
      </c>
      <c r="G4870" s="342">
        <f t="shared" si="293"/>
        <v>92.7880216276168</v>
      </c>
      <c r="H4870" s="342">
        <f>SUM(H4871:H4878)/8</f>
        <v>62.5</v>
      </c>
      <c r="I4870" s="111"/>
    </row>
    <row r="4871" spans="3:9" ht="16.5" hidden="1" customHeight="1" x14ac:dyDescent="0.25">
      <c r="C4871" s="222"/>
      <c r="D4871" s="338" t="s">
        <v>3490</v>
      </c>
      <c r="E4871" s="172">
        <v>12858000000</v>
      </c>
      <c r="F4871" s="243">
        <v>12858000000</v>
      </c>
      <c r="G4871" s="343">
        <f t="shared" si="293"/>
        <v>100</v>
      </c>
      <c r="H4871" s="343">
        <f>+G4871</f>
        <v>100</v>
      </c>
      <c r="I4871" s="111"/>
    </row>
    <row r="4872" spans="3:9" ht="16.5" hidden="1" customHeight="1" x14ac:dyDescent="0.25">
      <c r="C4872" s="222"/>
      <c r="D4872" s="341" t="s">
        <v>3491</v>
      </c>
      <c r="E4872" s="257">
        <v>912000000</v>
      </c>
      <c r="F4872" s="243">
        <v>912000000</v>
      </c>
      <c r="G4872" s="343">
        <f t="shared" si="293"/>
        <v>100</v>
      </c>
      <c r="H4872" s="343">
        <f t="shared" ref="H4872:H4878" si="294">+G4872</f>
        <v>100</v>
      </c>
      <c r="I4872" s="111"/>
    </row>
    <row r="4873" spans="3:9" ht="16.5" hidden="1" customHeight="1" x14ac:dyDescent="0.25">
      <c r="C4873" s="222"/>
      <c r="D4873" s="338" t="s">
        <v>3492</v>
      </c>
      <c r="E4873" s="172">
        <v>480000000</v>
      </c>
      <c r="F4873" s="243">
        <v>480000000</v>
      </c>
      <c r="G4873" s="343">
        <f t="shared" si="293"/>
        <v>100</v>
      </c>
      <c r="H4873" s="343">
        <f t="shared" si="294"/>
        <v>100</v>
      </c>
      <c r="I4873" s="111"/>
    </row>
    <row r="4874" spans="3:9" ht="16.5" hidden="1" customHeight="1" x14ac:dyDescent="0.25">
      <c r="C4874" s="222"/>
      <c r="D4874" s="338" t="s">
        <v>3493</v>
      </c>
      <c r="E4874" s="107">
        <v>2422000000</v>
      </c>
      <c r="F4874" s="243">
        <v>2422000000</v>
      </c>
      <c r="G4874" s="343">
        <f t="shared" si="293"/>
        <v>100</v>
      </c>
      <c r="H4874" s="343">
        <f t="shared" si="294"/>
        <v>100</v>
      </c>
      <c r="I4874" s="111"/>
    </row>
    <row r="4875" spans="3:9" ht="16.5" hidden="1" customHeight="1" x14ac:dyDescent="0.25">
      <c r="C4875" s="222"/>
      <c r="D4875" s="338" t="s">
        <v>3494</v>
      </c>
      <c r="E4875" s="107">
        <v>450000000</v>
      </c>
      <c r="F4875" s="243"/>
      <c r="G4875" s="343">
        <f t="shared" si="293"/>
        <v>0</v>
      </c>
      <c r="H4875" s="343">
        <f t="shared" si="294"/>
        <v>0</v>
      </c>
      <c r="I4875" s="111"/>
    </row>
    <row r="4876" spans="3:9" ht="16.5" hidden="1" customHeight="1" x14ac:dyDescent="0.25">
      <c r="C4876" s="222"/>
      <c r="D4876" s="338" t="s">
        <v>3495</v>
      </c>
      <c r="E4876" s="107">
        <v>500500000</v>
      </c>
      <c r="F4876" s="243"/>
      <c r="G4876" s="343">
        <f t="shared" si="293"/>
        <v>0</v>
      </c>
      <c r="H4876" s="343">
        <f t="shared" si="294"/>
        <v>0</v>
      </c>
      <c r="I4876" s="111"/>
    </row>
    <row r="4877" spans="3:9" ht="16.5" hidden="1" customHeight="1" x14ac:dyDescent="0.25">
      <c r="C4877" s="222"/>
      <c r="D4877" s="338" t="s">
        <v>3496</v>
      </c>
      <c r="E4877" s="107">
        <v>60000000</v>
      </c>
      <c r="F4877" s="243">
        <v>60000000</v>
      </c>
      <c r="G4877" s="343">
        <f t="shared" si="293"/>
        <v>100</v>
      </c>
      <c r="H4877" s="343">
        <f t="shared" si="294"/>
        <v>100</v>
      </c>
      <c r="I4877" s="111"/>
    </row>
    <row r="4878" spans="3:9" ht="16.5" hidden="1" customHeight="1" x14ac:dyDescent="0.25">
      <c r="C4878" s="222"/>
      <c r="D4878" s="339" t="s">
        <v>3497</v>
      </c>
      <c r="E4878" s="107">
        <v>350000000</v>
      </c>
      <c r="F4878" s="243"/>
      <c r="G4878" s="343">
        <f t="shared" si="293"/>
        <v>0</v>
      </c>
      <c r="H4878" s="343">
        <f t="shared" si="294"/>
        <v>0</v>
      </c>
      <c r="I4878" s="111"/>
    </row>
    <row r="4879" spans="3:9" ht="16.5" hidden="1" customHeight="1" x14ac:dyDescent="0.25">
      <c r="C4879" s="222"/>
      <c r="D4879" s="339"/>
      <c r="E4879" s="112"/>
      <c r="F4879" s="108"/>
      <c r="G4879" s="342"/>
      <c r="H4879" s="340"/>
      <c r="I4879" s="111"/>
    </row>
    <row r="4880" spans="3:9" ht="16.5" hidden="1" customHeight="1" x14ac:dyDescent="0.25">
      <c r="C4880" s="222"/>
      <c r="D4880" s="121" t="s">
        <v>150</v>
      </c>
      <c r="E4880" s="112">
        <f>E4881+E4885+E4889+E4892</f>
        <v>15016065000</v>
      </c>
      <c r="F4880" s="242">
        <f>SUM(F4881,F4885,F4889,F4892)</f>
        <v>14016065000</v>
      </c>
      <c r="G4880" s="342">
        <f t="shared" ref="G4880:G4893" si="295">+F4880/E4880*100</f>
        <v>93.340465694574448</v>
      </c>
      <c r="H4880" s="342">
        <f>SUM(H4881,H4885,H4889,H4892)/4</f>
        <v>93.75</v>
      </c>
      <c r="I4880" s="111"/>
    </row>
    <row r="4881" spans="3:9" ht="16.5" hidden="1" customHeight="1" x14ac:dyDescent="0.25">
      <c r="C4881" s="222"/>
      <c r="D4881" s="217" t="s">
        <v>182</v>
      </c>
      <c r="E4881" s="256">
        <f>SUM(E4882:E4884)</f>
        <v>1970680000</v>
      </c>
      <c r="F4881" s="242">
        <f>SUM(F4882:F4884)</f>
        <v>1970680000</v>
      </c>
      <c r="G4881" s="342">
        <f t="shared" si="295"/>
        <v>100</v>
      </c>
      <c r="H4881" s="342">
        <f>SUM(H4882:H4884)/3</f>
        <v>100</v>
      </c>
      <c r="I4881" s="111"/>
    </row>
    <row r="4882" spans="3:9" ht="16.5" hidden="1" customHeight="1" x14ac:dyDescent="0.25">
      <c r="C4882" s="222"/>
      <c r="D4882" s="339" t="s">
        <v>3498</v>
      </c>
      <c r="E4882" s="172">
        <v>495800000</v>
      </c>
      <c r="F4882" s="243">
        <v>495800000</v>
      </c>
      <c r="G4882" s="342">
        <f t="shared" si="295"/>
        <v>100</v>
      </c>
      <c r="H4882" s="343">
        <f>+G4882</f>
        <v>100</v>
      </c>
      <c r="I4882" s="111"/>
    </row>
    <row r="4883" spans="3:9" ht="36" hidden="1" customHeight="1" x14ac:dyDescent="0.25">
      <c r="C4883" s="222"/>
      <c r="D4883" s="339" t="s">
        <v>3499</v>
      </c>
      <c r="E4883" s="172">
        <v>601880000</v>
      </c>
      <c r="F4883" s="243">
        <v>601880000</v>
      </c>
      <c r="G4883" s="343">
        <f t="shared" si="295"/>
        <v>100</v>
      </c>
      <c r="H4883" s="343">
        <f t="shared" ref="H4883:H4932" si="296">+G4883</f>
        <v>100</v>
      </c>
      <c r="I4883" s="111"/>
    </row>
    <row r="4884" spans="3:9" ht="16.5" hidden="1" customHeight="1" x14ac:dyDescent="0.25">
      <c r="C4884" s="222"/>
      <c r="D4884" s="339" t="s">
        <v>3500</v>
      </c>
      <c r="E4884" s="172">
        <v>873000000</v>
      </c>
      <c r="F4884" s="243">
        <v>873000000</v>
      </c>
      <c r="G4884" s="343">
        <f t="shared" si="295"/>
        <v>100</v>
      </c>
      <c r="H4884" s="343">
        <f t="shared" si="296"/>
        <v>100</v>
      </c>
      <c r="I4884" s="111"/>
    </row>
    <row r="4885" spans="3:9" ht="16.5" hidden="1" customHeight="1" x14ac:dyDescent="0.25">
      <c r="C4885" s="222"/>
      <c r="D4885" s="121" t="s">
        <v>166</v>
      </c>
      <c r="E4885" s="112">
        <f>SUM(E4886:E4888)</f>
        <v>8014008000</v>
      </c>
      <c r="F4885" s="242">
        <f>SUM(F4886:F4888)</f>
        <v>8014008000</v>
      </c>
      <c r="G4885" s="342">
        <f t="shared" si="295"/>
        <v>100</v>
      </c>
      <c r="H4885" s="343">
        <f t="shared" si="296"/>
        <v>100</v>
      </c>
      <c r="I4885" s="111"/>
    </row>
    <row r="4886" spans="3:9" ht="16.5" hidden="1" customHeight="1" x14ac:dyDescent="0.25">
      <c r="C4886" s="222"/>
      <c r="D4886" s="339" t="s">
        <v>3501</v>
      </c>
      <c r="E4886" s="172">
        <v>1000000000</v>
      </c>
      <c r="F4886" s="243">
        <v>1000000000</v>
      </c>
      <c r="G4886" s="343">
        <f t="shared" si="295"/>
        <v>100</v>
      </c>
      <c r="H4886" s="343">
        <f t="shared" si="296"/>
        <v>100</v>
      </c>
      <c r="I4886" s="111"/>
    </row>
    <row r="4887" spans="3:9" ht="16.5" hidden="1" customHeight="1" x14ac:dyDescent="0.25">
      <c r="C4887" s="222"/>
      <c r="D4887" s="339" t="s">
        <v>3502</v>
      </c>
      <c r="E4887" s="172">
        <v>3014008000</v>
      </c>
      <c r="F4887" s="243">
        <v>3014008000</v>
      </c>
      <c r="G4887" s="343">
        <f t="shared" si="295"/>
        <v>100</v>
      </c>
      <c r="H4887" s="343">
        <f t="shared" si="296"/>
        <v>100</v>
      </c>
      <c r="I4887" s="111"/>
    </row>
    <row r="4888" spans="3:9" ht="16.5" hidden="1" customHeight="1" x14ac:dyDescent="0.25">
      <c r="C4888" s="222"/>
      <c r="D4888" s="338" t="s">
        <v>3503</v>
      </c>
      <c r="E4888" s="172">
        <v>4000000000</v>
      </c>
      <c r="F4888" s="243">
        <v>4000000000</v>
      </c>
      <c r="G4888" s="343">
        <f t="shared" si="295"/>
        <v>100</v>
      </c>
      <c r="H4888" s="343">
        <f t="shared" si="296"/>
        <v>100</v>
      </c>
      <c r="I4888" s="111"/>
    </row>
    <row r="4889" spans="3:9" ht="16.5" hidden="1" customHeight="1" x14ac:dyDescent="0.25">
      <c r="C4889" s="222"/>
      <c r="D4889" s="121" t="s">
        <v>825</v>
      </c>
      <c r="E4889" s="112">
        <f>SUM(E4890:E4891)</f>
        <v>1031377000</v>
      </c>
      <c r="F4889" s="242">
        <f>SUM(F4890:F4891)</f>
        <v>1031377000</v>
      </c>
      <c r="G4889" s="342">
        <f t="shared" si="295"/>
        <v>100</v>
      </c>
      <c r="H4889" s="343">
        <f t="shared" si="296"/>
        <v>100</v>
      </c>
      <c r="I4889" s="111"/>
    </row>
    <row r="4890" spans="3:9" ht="16.5" hidden="1" customHeight="1" x14ac:dyDescent="0.25">
      <c r="C4890" s="222"/>
      <c r="D4890" s="339" t="s">
        <v>3504</v>
      </c>
      <c r="E4890" s="257">
        <v>635128000</v>
      </c>
      <c r="F4890" s="243">
        <v>635128000</v>
      </c>
      <c r="G4890" s="343">
        <f t="shared" si="295"/>
        <v>100</v>
      </c>
      <c r="H4890" s="343">
        <f t="shared" si="296"/>
        <v>100</v>
      </c>
      <c r="I4890" s="111"/>
    </row>
    <row r="4891" spans="3:9" ht="16.5" hidden="1" customHeight="1" x14ac:dyDescent="0.25">
      <c r="C4891" s="222"/>
      <c r="D4891" s="339" t="s">
        <v>3505</v>
      </c>
      <c r="E4891" s="257">
        <v>396249000</v>
      </c>
      <c r="F4891" s="243">
        <v>396249000</v>
      </c>
      <c r="G4891" s="343">
        <f t="shared" si="295"/>
        <v>100</v>
      </c>
      <c r="H4891" s="343">
        <f t="shared" si="296"/>
        <v>100</v>
      </c>
      <c r="I4891" s="111"/>
    </row>
    <row r="4892" spans="3:9" ht="16.5" hidden="1" customHeight="1" x14ac:dyDescent="0.25">
      <c r="C4892" s="222"/>
      <c r="D4892" s="121" t="s">
        <v>156</v>
      </c>
      <c r="E4892" s="256">
        <f>E4893</f>
        <v>4000000000</v>
      </c>
      <c r="F4892" s="242">
        <f>F4893</f>
        <v>3000000000</v>
      </c>
      <c r="G4892" s="342">
        <f t="shared" si="295"/>
        <v>75</v>
      </c>
      <c r="H4892" s="343">
        <f t="shared" si="296"/>
        <v>75</v>
      </c>
      <c r="I4892" s="111"/>
    </row>
    <row r="4893" spans="3:9" ht="16.5" hidden="1" customHeight="1" x14ac:dyDescent="0.25">
      <c r="C4893" s="222"/>
      <c r="D4893" s="339" t="s">
        <v>3506</v>
      </c>
      <c r="E4893" s="257">
        <v>4000000000</v>
      </c>
      <c r="F4893" s="243">
        <v>3000000000</v>
      </c>
      <c r="G4893" s="343">
        <f t="shared" si="295"/>
        <v>75</v>
      </c>
      <c r="H4893" s="343">
        <f t="shared" si="296"/>
        <v>75</v>
      </c>
      <c r="I4893" s="111"/>
    </row>
    <row r="4894" spans="3:9" ht="16.5" hidden="1" customHeight="1" x14ac:dyDescent="0.25">
      <c r="C4894" s="222"/>
      <c r="D4894" s="339"/>
      <c r="E4894" s="257"/>
      <c r="F4894" s="108"/>
      <c r="G4894" s="342"/>
      <c r="H4894" s="340"/>
      <c r="I4894" s="111"/>
    </row>
    <row r="4895" spans="3:9" ht="16.5" hidden="1" customHeight="1" x14ac:dyDescent="0.25">
      <c r="C4895" s="222"/>
      <c r="D4895" s="121" t="s">
        <v>3507</v>
      </c>
      <c r="E4895" s="112">
        <f>E4896+E4898+E4901+E4903</f>
        <v>12042000000</v>
      </c>
      <c r="F4895" s="242">
        <f>SUM(F4896,F4898,F4901,F4903)</f>
        <v>12024829550</v>
      </c>
      <c r="G4895" s="342">
        <f t="shared" ref="G4895:G4904" si="297">+F4895/E4895*100</f>
        <v>99.857411974755024</v>
      </c>
      <c r="H4895" s="343">
        <f t="shared" si="296"/>
        <v>99.857411974755024</v>
      </c>
      <c r="I4895" s="111"/>
    </row>
    <row r="4896" spans="3:9" ht="16.5" hidden="1" customHeight="1" x14ac:dyDescent="0.25">
      <c r="C4896" s="222"/>
      <c r="D4896" s="335" t="s">
        <v>1652</v>
      </c>
      <c r="E4896" s="112">
        <f>E4897</f>
        <v>892000000</v>
      </c>
      <c r="F4896" s="242">
        <f>F4897</f>
        <v>891976000</v>
      </c>
      <c r="G4896" s="342">
        <f t="shared" si="297"/>
        <v>99.997309417040356</v>
      </c>
      <c r="H4896" s="343">
        <f t="shared" si="296"/>
        <v>99.997309417040356</v>
      </c>
      <c r="I4896" s="111"/>
    </row>
    <row r="4897" spans="3:9" ht="16.5" hidden="1" customHeight="1" x14ac:dyDescent="0.25">
      <c r="C4897" s="222"/>
      <c r="D4897" s="338" t="s">
        <v>3508</v>
      </c>
      <c r="E4897" s="107">
        <v>892000000</v>
      </c>
      <c r="F4897" s="243">
        <v>891976000</v>
      </c>
      <c r="G4897" s="343">
        <f t="shared" si="297"/>
        <v>99.997309417040356</v>
      </c>
      <c r="H4897" s="343">
        <f t="shared" si="296"/>
        <v>99.997309417040356</v>
      </c>
      <c r="I4897" s="111"/>
    </row>
    <row r="4898" spans="3:9" ht="16.5" hidden="1" customHeight="1" x14ac:dyDescent="0.25">
      <c r="C4898" s="222"/>
      <c r="D4898" s="121" t="s">
        <v>758</v>
      </c>
      <c r="E4898" s="112">
        <f>E4899+E4900</f>
        <v>4650000000</v>
      </c>
      <c r="F4898" s="242">
        <f>SUM(F4899:F4900)</f>
        <v>4645661000</v>
      </c>
      <c r="G4898" s="342">
        <f t="shared" si="297"/>
        <v>99.906688172043019</v>
      </c>
      <c r="H4898" s="343">
        <f t="shared" si="296"/>
        <v>99.906688172043019</v>
      </c>
      <c r="I4898" s="111"/>
    </row>
    <row r="4899" spans="3:9" ht="16.5" hidden="1" customHeight="1" x14ac:dyDescent="0.25">
      <c r="C4899" s="222"/>
      <c r="D4899" s="338" t="s">
        <v>3509</v>
      </c>
      <c r="E4899" s="172">
        <v>2650000000</v>
      </c>
      <c r="F4899" s="243">
        <v>2646661000</v>
      </c>
      <c r="G4899" s="343">
        <f t="shared" si="297"/>
        <v>99.873999999999995</v>
      </c>
      <c r="H4899" s="343">
        <f t="shared" si="296"/>
        <v>99.873999999999995</v>
      </c>
      <c r="I4899" s="111"/>
    </row>
    <row r="4900" spans="3:9" ht="16.5" hidden="1" customHeight="1" x14ac:dyDescent="0.25">
      <c r="C4900" s="222"/>
      <c r="D4900" s="338" t="s">
        <v>3510</v>
      </c>
      <c r="E4900" s="172">
        <v>2000000000</v>
      </c>
      <c r="F4900" s="243">
        <v>1999000000</v>
      </c>
      <c r="G4900" s="343">
        <f t="shared" si="297"/>
        <v>99.95</v>
      </c>
      <c r="H4900" s="343">
        <f t="shared" si="296"/>
        <v>99.95</v>
      </c>
      <c r="I4900" s="111"/>
    </row>
    <row r="4901" spans="3:9" ht="16.5" hidden="1" customHeight="1" x14ac:dyDescent="0.25">
      <c r="C4901" s="222"/>
      <c r="D4901" s="217" t="s">
        <v>3511</v>
      </c>
      <c r="E4901" s="120">
        <f>E4902</f>
        <v>5000000000</v>
      </c>
      <c r="F4901" s="242">
        <f>F4902</f>
        <v>4992192550</v>
      </c>
      <c r="G4901" s="342">
        <f t="shared" si="297"/>
        <v>99.843851000000001</v>
      </c>
      <c r="H4901" s="343">
        <f t="shared" si="296"/>
        <v>99.843851000000001</v>
      </c>
      <c r="I4901" s="111"/>
    </row>
    <row r="4902" spans="3:9" ht="16.5" hidden="1" customHeight="1" x14ac:dyDescent="0.25">
      <c r="C4902" s="222"/>
      <c r="D4902" s="339" t="s">
        <v>1311</v>
      </c>
      <c r="E4902" s="172">
        <v>5000000000</v>
      </c>
      <c r="F4902" s="243">
        <v>4992192550</v>
      </c>
      <c r="G4902" s="343">
        <f t="shared" si="297"/>
        <v>99.843851000000001</v>
      </c>
      <c r="H4902" s="343">
        <f t="shared" si="296"/>
        <v>99.843851000000001</v>
      </c>
      <c r="I4902" s="111"/>
    </row>
    <row r="4903" spans="3:9" ht="16.5" hidden="1" customHeight="1" x14ac:dyDescent="0.25">
      <c r="C4903" s="222"/>
      <c r="D4903" s="121" t="s">
        <v>3512</v>
      </c>
      <c r="E4903" s="112">
        <f>E4904</f>
        <v>1500000000</v>
      </c>
      <c r="F4903" s="242">
        <f>F4904</f>
        <v>1495000000</v>
      </c>
      <c r="G4903" s="342">
        <f t="shared" si="297"/>
        <v>99.666666666666671</v>
      </c>
      <c r="H4903" s="343">
        <f t="shared" si="296"/>
        <v>99.666666666666671</v>
      </c>
      <c r="I4903" s="111"/>
    </row>
    <row r="4904" spans="3:9" ht="16.5" hidden="1" customHeight="1" x14ac:dyDescent="0.25">
      <c r="C4904" s="222"/>
      <c r="D4904" s="339" t="s">
        <v>3513</v>
      </c>
      <c r="E4904" s="172">
        <v>1500000000</v>
      </c>
      <c r="F4904" s="243">
        <v>1495000000</v>
      </c>
      <c r="G4904" s="343">
        <f t="shared" si="297"/>
        <v>99.666666666666671</v>
      </c>
      <c r="H4904" s="343">
        <f t="shared" si="296"/>
        <v>99.666666666666671</v>
      </c>
      <c r="I4904" s="111"/>
    </row>
    <row r="4905" spans="3:9" ht="16.5" hidden="1" customHeight="1" x14ac:dyDescent="0.25">
      <c r="C4905" s="222"/>
      <c r="D4905" s="339"/>
      <c r="E4905" s="172"/>
      <c r="F4905" s="108"/>
      <c r="G4905" s="342"/>
      <c r="H4905" s="340"/>
      <c r="I4905" s="111"/>
    </row>
    <row r="4906" spans="3:9" ht="18.75" hidden="1" customHeight="1" x14ac:dyDescent="0.25">
      <c r="C4906" s="222"/>
      <c r="D4906" s="217" t="s">
        <v>3514</v>
      </c>
      <c r="E4906" s="256">
        <f>E4907+E4910</f>
        <v>5402500000</v>
      </c>
      <c r="F4906" s="242">
        <f>F4907+F4910</f>
        <v>5402500000</v>
      </c>
      <c r="G4906" s="342">
        <f t="shared" ref="G4906:G4912" si="298">+F4906/E4906*100</f>
        <v>100</v>
      </c>
      <c r="H4906" s="343">
        <f t="shared" si="296"/>
        <v>100</v>
      </c>
      <c r="I4906" s="111"/>
    </row>
    <row r="4907" spans="3:9" ht="16.5" hidden="1" customHeight="1" x14ac:dyDescent="0.25">
      <c r="C4907" s="222"/>
      <c r="D4907" s="121" t="s">
        <v>2902</v>
      </c>
      <c r="E4907" s="112">
        <f>E4908+E4909</f>
        <v>3002500000</v>
      </c>
      <c r="F4907" s="242">
        <f>SUM(F4908:F4909)</f>
        <v>3002500000</v>
      </c>
      <c r="G4907" s="342">
        <f t="shared" si="298"/>
        <v>100</v>
      </c>
      <c r="H4907" s="343">
        <f t="shared" si="296"/>
        <v>100</v>
      </c>
      <c r="I4907" s="111"/>
    </row>
    <row r="4908" spans="3:9" ht="16.5" hidden="1" customHeight="1" x14ac:dyDescent="0.25">
      <c r="C4908" s="222"/>
      <c r="D4908" s="338" t="s">
        <v>3515</v>
      </c>
      <c r="E4908" s="172">
        <v>1980000000</v>
      </c>
      <c r="F4908" s="243">
        <v>1980000000</v>
      </c>
      <c r="G4908" s="343">
        <f t="shared" si="298"/>
        <v>100</v>
      </c>
      <c r="H4908" s="343">
        <f t="shared" si="296"/>
        <v>100</v>
      </c>
      <c r="I4908" s="111"/>
    </row>
    <row r="4909" spans="3:9" ht="16.5" hidden="1" customHeight="1" x14ac:dyDescent="0.25">
      <c r="C4909" s="222"/>
      <c r="D4909" s="338" t="s">
        <v>3516</v>
      </c>
      <c r="E4909" s="172">
        <v>1022500000</v>
      </c>
      <c r="F4909" s="243">
        <v>1022500000</v>
      </c>
      <c r="G4909" s="343">
        <f t="shared" si="298"/>
        <v>100</v>
      </c>
      <c r="H4909" s="343">
        <f t="shared" si="296"/>
        <v>100</v>
      </c>
      <c r="I4909" s="111"/>
    </row>
    <row r="4910" spans="3:9" ht="16.5" hidden="1" customHeight="1" x14ac:dyDescent="0.25">
      <c r="C4910" s="222"/>
      <c r="D4910" s="121" t="s">
        <v>370</v>
      </c>
      <c r="E4910" s="120">
        <f>E4911+E4912</f>
        <v>2400000000</v>
      </c>
      <c r="F4910" s="242">
        <f>SUM(F4911:F4912)</f>
        <v>2400000000</v>
      </c>
      <c r="G4910" s="342">
        <f t="shared" si="298"/>
        <v>100</v>
      </c>
      <c r="H4910" s="343">
        <f t="shared" si="296"/>
        <v>100</v>
      </c>
      <c r="I4910" s="111"/>
    </row>
    <row r="4911" spans="3:9" ht="16.5" hidden="1" customHeight="1" x14ac:dyDescent="0.25">
      <c r="C4911" s="222"/>
      <c r="D4911" s="338" t="s">
        <v>3517</v>
      </c>
      <c r="E4911" s="172">
        <v>1500000000</v>
      </c>
      <c r="F4911" s="243">
        <v>1500000000</v>
      </c>
      <c r="G4911" s="343">
        <f t="shared" si="298"/>
        <v>100</v>
      </c>
      <c r="H4911" s="343">
        <f t="shared" si="296"/>
        <v>100</v>
      </c>
      <c r="I4911" s="111"/>
    </row>
    <row r="4912" spans="3:9" ht="18.75" hidden="1" customHeight="1" x14ac:dyDescent="0.25">
      <c r="C4912" s="222"/>
      <c r="D4912" s="339" t="s">
        <v>3518</v>
      </c>
      <c r="E4912" s="172">
        <v>900000000</v>
      </c>
      <c r="F4912" s="243">
        <v>900000000</v>
      </c>
      <c r="G4912" s="343">
        <f t="shared" si="298"/>
        <v>100</v>
      </c>
      <c r="H4912" s="343">
        <f t="shared" si="296"/>
        <v>100</v>
      </c>
      <c r="I4912" s="111"/>
    </row>
    <row r="4913" spans="3:9" ht="16.5" hidden="1" customHeight="1" x14ac:dyDescent="0.25">
      <c r="C4913" s="222"/>
      <c r="D4913" s="339"/>
      <c r="E4913" s="172"/>
      <c r="F4913" s="108"/>
      <c r="G4913" s="342"/>
      <c r="H4913" s="340"/>
      <c r="I4913" s="111"/>
    </row>
    <row r="4914" spans="3:9" ht="16.5" hidden="1" customHeight="1" x14ac:dyDescent="0.25">
      <c r="C4914" s="222"/>
      <c r="D4914" s="121" t="s">
        <v>3519</v>
      </c>
      <c r="E4914" s="112">
        <f>E4915</f>
        <v>3000000000</v>
      </c>
      <c r="F4914" s="242">
        <f t="shared" ref="F4914:F4915" si="299">F4915</f>
        <v>3000000000</v>
      </c>
      <c r="G4914" s="342">
        <f>+F4914/E4914*100</f>
        <v>100</v>
      </c>
      <c r="H4914" s="343">
        <f t="shared" si="296"/>
        <v>100</v>
      </c>
      <c r="I4914" s="111"/>
    </row>
    <row r="4915" spans="3:9" ht="16.5" hidden="1" customHeight="1" x14ac:dyDescent="0.25">
      <c r="C4915" s="222"/>
      <c r="D4915" s="121" t="s">
        <v>3520</v>
      </c>
      <c r="E4915" s="112">
        <f>E4916</f>
        <v>3000000000</v>
      </c>
      <c r="F4915" s="242">
        <f t="shared" si="299"/>
        <v>3000000000</v>
      </c>
      <c r="G4915" s="342">
        <f>+F4915/E4915*100</f>
        <v>100</v>
      </c>
      <c r="H4915" s="343">
        <f t="shared" si="296"/>
        <v>100</v>
      </c>
      <c r="I4915" s="111"/>
    </row>
    <row r="4916" spans="3:9" ht="16.5" hidden="1" customHeight="1" x14ac:dyDescent="0.25">
      <c r="C4916" s="222"/>
      <c r="D4916" s="339" t="s">
        <v>3521</v>
      </c>
      <c r="E4916" s="172">
        <v>3000000000</v>
      </c>
      <c r="F4916" s="243">
        <v>3000000000</v>
      </c>
      <c r="G4916" s="343">
        <f>+F4916/E4916*100</f>
        <v>100</v>
      </c>
      <c r="H4916" s="343">
        <f t="shared" si="296"/>
        <v>100</v>
      </c>
      <c r="I4916" s="111"/>
    </row>
    <row r="4917" spans="3:9" ht="16.5" hidden="1" customHeight="1" x14ac:dyDescent="0.25">
      <c r="C4917" s="222"/>
      <c r="D4917" s="339"/>
      <c r="E4917" s="172"/>
      <c r="F4917" s="108"/>
      <c r="G4917" s="342"/>
      <c r="H4917" s="340"/>
      <c r="I4917" s="111"/>
    </row>
    <row r="4918" spans="3:9" ht="16.5" hidden="1" customHeight="1" x14ac:dyDescent="0.25">
      <c r="C4918" s="222"/>
      <c r="D4918" s="121" t="s">
        <v>3488</v>
      </c>
      <c r="E4918" s="112">
        <f>E4919</f>
        <v>6050000000</v>
      </c>
      <c r="F4918" s="242">
        <f>F4919</f>
        <v>5500000000</v>
      </c>
      <c r="G4918" s="342">
        <f t="shared" ref="G4918:G4924" si="300">+F4918/E4918*100</f>
        <v>90.909090909090907</v>
      </c>
      <c r="H4918" s="343">
        <f t="shared" si="296"/>
        <v>90.909090909090907</v>
      </c>
      <c r="I4918" s="111"/>
    </row>
    <row r="4919" spans="3:9" ht="16.5" hidden="1" customHeight="1" x14ac:dyDescent="0.25">
      <c r="C4919" s="222"/>
      <c r="D4919" s="121" t="s">
        <v>3522</v>
      </c>
      <c r="E4919" s="112">
        <f>SUM(E4920:E4924)</f>
        <v>6050000000</v>
      </c>
      <c r="F4919" s="242">
        <f>SUM(F4920:F4924)</f>
        <v>5500000000</v>
      </c>
      <c r="G4919" s="342">
        <f t="shared" si="300"/>
        <v>90.909090909090907</v>
      </c>
      <c r="H4919" s="343">
        <f t="shared" si="296"/>
        <v>90.909090909090907</v>
      </c>
      <c r="I4919" s="111"/>
    </row>
    <row r="4920" spans="3:9" ht="16.5" hidden="1" customHeight="1" x14ac:dyDescent="0.25">
      <c r="C4920" s="222"/>
      <c r="D4920" s="338" t="s">
        <v>3523</v>
      </c>
      <c r="E4920" s="172">
        <v>4200000000</v>
      </c>
      <c r="F4920" s="243">
        <v>4200000000</v>
      </c>
      <c r="G4920" s="343">
        <f t="shared" si="300"/>
        <v>100</v>
      </c>
      <c r="H4920" s="343">
        <f t="shared" si="296"/>
        <v>100</v>
      </c>
      <c r="I4920" s="111"/>
    </row>
    <row r="4921" spans="3:9" ht="16.5" hidden="1" customHeight="1" x14ac:dyDescent="0.25">
      <c r="C4921" s="222"/>
      <c r="D4921" s="338" t="s">
        <v>3524</v>
      </c>
      <c r="E4921" s="172">
        <v>300000000</v>
      </c>
      <c r="F4921" s="243">
        <v>300000000</v>
      </c>
      <c r="G4921" s="343">
        <f t="shared" si="300"/>
        <v>100</v>
      </c>
      <c r="H4921" s="343">
        <f t="shared" si="296"/>
        <v>100</v>
      </c>
      <c r="I4921" s="111"/>
    </row>
    <row r="4922" spans="3:9" ht="16.5" hidden="1" customHeight="1" x14ac:dyDescent="0.25">
      <c r="C4922" s="222"/>
      <c r="D4922" s="338" t="s">
        <v>3525</v>
      </c>
      <c r="E4922" s="172">
        <v>550000000</v>
      </c>
      <c r="F4922" s="243">
        <v>0</v>
      </c>
      <c r="G4922" s="343">
        <f t="shared" si="300"/>
        <v>0</v>
      </c>
      <c r="H4922" s="343">
        <f t="shared" si="296"/>
        <v>0</v>
      </c>
      <c r="I4922" s="111"/>
    </row>
    <row r="4923" spans="3:9" ht="16.5" hidden="1" customHeight="1" x14ac:dyDescent="0.25">
      <c r="C4923" s="222"/>
      <c r="D4923" s="338" t="s">
        <v>3526</v>
      </c>
      <c r="E4923" s="172">
        <v>500000000</v>
      </c>
      <c r="F4923" s="243">
        <v>500000000</v>
      </c>
      <c r="G4923" s="343">
        <f t="shared" si="300"/>
        <v>100</v>
      </c>
      <c r="H4923" s="343">
        <f t="shared" si="296"/>
        <v>100</v>
      </c>
      <c r="I4923" s="111"/>
    </row>
    <row r="4924" spans="3:9" ht="16.5" hidden="1" customHeight="1" x14ac:dyDescent="0.25">
      <c r="C4924" s="222"/>
      <c r="D4924" s="338" t="s">
        <v>3527</v>
      </c>
      <c r="E4924" s="172">
        <v>500000000</v>
      </c>
      <c r="F4924" s="243">
        <v>500000000</v>
      </c>
      <c r="G4924" s="343">
        <f t="shared" si="300"/>
        <v>100</v>
      </c>
      <c r="H4924" s="343">
        <f t="shared" si="296"/>
        <v>100</v>
      </c>
      <c r="I4924" s="111"/>
    </row>
    <row r="4925" spans="3:9" ht="16.5" hidden="1" customHeight="1" x14ac:dyDescent="0.25">
      <c r="C4925" s="222"/>
      <c r="D4925" s="338"/>
      <c r="E4925" s="172"/>
      <c r="F4925" s="108"/>
      <c r="G4925" s="342"/>
      <c r="H4925" s="340"/>
      <c r="I4925" s="111"/>
    </row>
    <row r="4926" spans="3:9" s="115" customFormat="1" ht="16.5" hidden="1" customHeight="1" x14ac:dyDescent="0.25">
      <c r="C4926" s="222"/>
      <c r="D4926" s="121" t="s">
        <v>3528</v>
      </c>
      <c r="E4926" s="112">
        <f>E4927+E4929+E4931</f>
        <v>23781744320</v>
      </c>
      <c r="F4926" s="242">
        <f>F4927+F4929+F4931</f>
        <v>23628950000</v>
      </c>
      <c r="G4926" s="342">
        <f t="shared" ref="G4926:G4932" si="301">+F4926/E4926*100</f>
        <v>99.357514243093163</v>
      </c>
      <c r="H4926" s="343">
        <f t="shared" si="296"/>
        <v>99.357514243093163</v>
      </c>
      <c r="I4926" s="121"/>
    </row>
    <row r="4927" spans="3:9" s="115" customFormat="1" ht="16.5" hidden="1" customHeight="1" x14ac:dyDescent="0.25">
      <c r="C4927" s="222"/>
      <c r="D4927" s="121" t="s">
        <v>2847</v>
      </c>
      <c r="E4927" s="112">
        <f>E4928</f>
        <v>5206994320</v>
      </c>
      <c r="F4927" s="242">
        <f>F4928</f>
        <v>5126500000</v>
      </c>
      <c r="G4927" s="342">
        <f t="shared" si="301"/>
        <v>98.454111622691372</v>
      </c>
      <c r="H4927" s="343">
        <f t="shared" si="296"/>
        <v>98.454111622691372</v>
      </c>
      <c r="I4927" s="121"/>
    </row>
    <row r="4928" spans="3:9" ht="18.75" hidden="1" customHeight="1" x14ac:dyDescent="0.25">
      <c r="C4928" s="222"/>
      <c r="D4928" s="338" t="s">
        <v>3529</v>
      </c>
      <c r="E4928" s="107">
        <v>5206994320</v>
      </c>
      <c r="F4928" s="243">
        <v>5126500000</v>
      </c>
      <c r="G4928" s="343">
        <f t="shared" si="301"/>
        <v>98.454111622691372</v>
      </c>
      <c r="H4928" s="343">
        <f t="shared" si="296"/>
        <v>98.454111622691372</v>
      </c>
      <c r="I4928" s="111"/>
    </row>
    <row r="4929" spans="3:9" s="115" customFormat="1" ht="16.5" hidden="1" customHeight="1" x14ac:dyDescent="0.25">
      <c r="C4929" s="222"/>
      <c r="D4929" s="121" t="s">
        <v>3530</v>
      </c>
      <c r="E4929" s="112">
        <f>SUM(E4930:E4930)</f>
        <v>10000000000</v>
      </c>
      <c r="F4929" s="242">
        <f>F4930</f>
        <v>9972100000</v>
      </c>
      <c r="G4929" s="342">
        <f t="shared" si="301"/>
        <v>99.721000000000004</v>
      </c>
      <c r="H4929" s="343">
        <f t="shared" si="296"/>
        <v>99.721000000000004</v>
      </c>
      <c r="I4929" s="121"/>
    </row>
    <row r="4930" spans="3:9" ht="16.5" hidden="1" customHeight="1" x14ac:dyDescent="0.25">
      <c r="C4930" s="222"/>
      <c r="D4930" s="338" t="s">
        <v>3531</v>
      </c>
      <c r="E4930" s="172">
        <v>10000000000</v>
      </c>
      <c r="F4930" s="243">
        <v>9972100000</v>
      </c>
      <c r="G4930" s="343">
        <f t="shared" si="301"/>
        <v>99.721000000000004</v>
      </c>
      <c r="H4930" s="343">
        <f t="shared" si="296"/>
        <v>99.721000000000004</v>
      </c>
      <c r="I4930" s="111"/>
    </row>
    <row r="4931" spans="3:9" ht="16.5" hidden="1" customHeight="1" x14ac:dyDescent="0.25">
      <c r="C4931" s="222"/>
      <c r="D4931" s="121" t="s">
        <v>3532</v>
      </c>
      <c r="E4931" s="112">
        <f>SUM(E4932)</f>
        <v>8574750000</v>
      </c>
      <c r="F4931" s="422">
        <f>F4932</f>
        <v>8530350000</v>
      </c>
      <c r="G4931" s="342">
        <f t="shared" si="301"/>
        <v>99.482200647249186</v>
      </c>
      <c r="H4931" s="343">
        <f t="shared" si="296"/>
        <v>99.482200647249186</v>
      </c>
      <c r="I4931" s="111"/>
    </row>
    <row r="4932" spans="3:9" ht="16.5" hidden="1" customHeight="1" x14ac:dyDescent="0.25">
      <c r="C4932" s="222"/>
      <c r="D4932" s="339" t="s">
        <v>1452</v>
      </c>
      <c r="E4932" s="172">
        <v>8574750000</v>
      </c>
      <c r="F4932" s="243">
        <v>8530350000</v>
      </c>
      <c r="G4932" s="343">
        <f t="shared" si="301"/>
        <v>99.482200647249186</v>
      </c>
      <c r="H4932" s="343">
        <f t="shared" si="296"/>
        <v>99.482200647249186</v>
      </c>
      <c r="I4932" s="111"/>
    </row>
    <row r="4933" spans="3:9" ht="16.5" hidden="1" customHeight="1" x14ac:dyDescent="0.25">
      <c r="C4933" s="222"/>
      <c r="D4933" s="339"/>
      <c r="E4933" s="172"/>
      <c r="F4933" s="108"/>
      <c r="G4933" s="342"/>
      <c r="H4933" s="340"/>
      <c r="I4933" s="111"/>
    </row>
    <row r="4934" spans="3:9" ht="16.5" hidden="1" customHeight="1" x14ac:dyDescent="0.25">
      <c r="C4934" s="222"/>
      <c r="D4934" s="121" t="s">
        <v>630</v>
      </c>
      <c r="E4934" s="112">
        <f>E4936</f>
        <v>2402154640</v>
      </c>
      <c r="F4934" s="113">
        <f>+F4935</f>
        <v>2402154640</v>
      </c>
      <c r="G4934" s="342">
        <f>+F4934/E4934*100</f>
        <v>100</v>
      </c>
      <c r="H4934" s="340">
        <f>H4935</f>
        <v>100</v>
      </c>
      <c r="I4934" s="111"/>
    </row>
    <row r="4935" spans="3:9" ht="16.5" hidden="1" customHeight="1" x14ac:dyDescent="0.25">
      <c r="C4935" s="222"/>
      <c r="D4935" s="335" t="s">
        <v>3533</v>
      </c>
      <c r="E4935" s="112">
        <f>E4936</f>
        <v>2402154640</v>
      </c>
      <c r="F4935" s="113">
        <f>+F4936</f>
        <v>2402154640</v>
      </c>
      <c r="G4935" s="342">
        <f>+F4935/E4935*100</f>
        <v>100</v>
      </c>
      <c r="H4935" s="340">
        <v>100</v>
      </c>
      <c r="I4935" s="111"/>
    </row>
    <row r="4936" spans="3:9" ht="18.75" hidden="1" customHeight="1" x14ac:dyDescent="0.25">
      <c r="C4936" s="222"/>
      <c r="D4936" s="339" t="s">
        <v>3534</v>
      </c>
      <c r="E4936" s="257">
        <v>2402154640</v>
      </c>
      <c r="F4936" s="108">
        <v>2402154640</v>
      </c>
      <c r="G4936" s="343">
        <f>+F4936/E4936*100</f>
        <v>100</v>
      </c>
      <c r="H4936" s="569">
        <v>100</v>
      </c>
      <c r="I4936" s="111"/>
    </row>
    <row r="4937" spans="3:9" ht="16.5" hidden="1" customHeight="1" x14ac:dyDescent="0.25">
      <c r="C4937" s="222"/>
      <c r="D4937" s="339"/>
      <c r="E4937" s="257"/>
      <c r="F4937" s="108"/>
      <c r="G4937" s="342"/>
      <c r="H4937" s="340"/>
      <c r="I4937" s="111"/>
    </row>
    <row r="4938" spans="3:9" ht="16.5" hidden="1" customHeight="1" x14ac:dyDescent="0.25">
      <c r="C4938" s="222"/>
      <c r="D4938" s="121" t="s">
        <v>1265</v>
      </c>
      <c r="E4938" s="112">
        <f>E4940</f>
        <v>2402154640</v>
      </c>
      <c r="F4938" s="242">
        <f t="shared" ref="F4938:F4939" si="302">F4939</f>
        <v>2402154640</v>
      </c>
      <c r="G4938" s="342">
        <f>+F4938/E4938*100</f>
        <v>100</v>
      </c>
      <c r="H4938" s="343">
        <f t="shared" ref="H4938:H4940" si="303">+G4938</f>
        <v>100</v>
      </c>
      <c r="I4938" s="111"/>
    </row>
    <row r="4939" spans="3:9" ht="16.5" hidden="1" customHeight="1" x14ac:dyDescent="0.25">
      <c r="C4939" s="222"/>
      <c r="D4939" s="335" t="s">
        <v>3535</v>
      </c>
      <c r="E4939" s="112">
        <f>E4940</f>
        <v>2402154640</v>
      </c>
      <c r="F4939" s="242">
        <f t="shared" si="302"/>
        <v>2402154640</v>
      </c>
      <c r="G4939" s="342">
        <f>+F4939/E4939*100</f>
        <v>100</v>
      </c>
      <c r="H4939" s="343">
        <f t="shared" si="303"/>
        <v>100</v>
      </c>
      <c r="I4939" s="111"/>
    </row>
    <row r="4940" spans="3:9" ht="16.5" hidden="1" customHeight="1" x14ac:dyDescent="0.25">
      <c r="C4940" s="222"/>
      <c r="D4940" s="339" t="s">
        <v>3536</v>
      </c>
      <c r="E4940" s="257">
        <v>2402154640</v>
      </c>
      <c r="F4940" s="243">
        <v>2402154640</v>
      </c>
      <c r="G4940" s="343">
        <f>+F4940/E4940*100</f>
        <v>100</v>
      </c>
      <c r="H4940" s="343">
        <f t="shared" si="303"/>
        <v>100</v>
      </c>
      <c r="I4940" s="111"/>
    </row>
    <row r="4941" spans="3:9" ht="16.5" hidden="1" customHeight="1" x14ac:dyDescent="0.25">
      <c r="C4941" s="222"/>
      <c r="D4941" s="339"/>
      <c r="E4941" s="257"/>
      <c r="F4941" s="108"/>
      <c r="G4941" s="342"/>
      <c r="H4941" s="340"/>
      <c r="I4941" s="111"/>
    </row>
    <row r="4942" spans="3:9" ht="16.5" hidden="1" customHeight="1" x14ac:dyDescent="0.25">
      <c r="C4942" s="222"/>
      <c r="D4942" s="121" t="s">
        <v>864</v>
      </c>
      <c r="E4942" s="112">
        <f>E4944</f>
        <v>510000000</v>
      </c>
      <c r="F4942" s="113">
        <f>+F4943</f>
        <v>510000000</v>
      </c>
      <c r="G4942" s="342">
        <f>+F4942/E4942*100</f>
        <v>100</v>
      </c>
      <c r="H4942" s="340">
        <f>H4943</f>
        <v>100</v>
      </c>
      <c r="I4942" s="111"/>
    </row>
    <row r="4943" spans="3:9" ht="16.5" hidden="1" customHeight="1" x14ac:dyDescent="0.25">
      <c r="C4943" s="222"/>
      <c r="D4943" s="335" t="s">
        <v>2652</v>
      </c>
      <c r="E4943" s="112">
        <f>E4944</f>
        <v>510000000</v>
      </c>
      <c r="F4943" s="113">
        <f>+F4944</f>
        <v>510000000</v>
      </c>
      <c r="G4943" s="342">
        <f>+F4943/E4943*100</f>
        <v>100</v>
      </c>
      <c r="H4943" s="340">
        <v>100</v>
      </c>
      <c r="I4943" s="111"/>
    </row>
    <row r="4944" spans="3:9" ht="16.5" hidden="1" customHeight="1" x14ac:dyDescent="0.25">
      <c r="C4944" s="222"/>
      <c r="D4944" s="339" t="s">
        <v>3281</v>
      </c>
      <c r="E4944" s="257">
        <v>510000000</v>
      </c>
      <c r="F4944" s="108">
        <v>510000000</v>
      </c>
      <c r="G4944" s="343">
        <f>+F4944/E4944*100</f>
        <v>100</v>
      </c>
      <c r="H4944" s="569">
        <v>100</v>
      </c>
      <c r="I4944" s="111"/>
    </row>
    <row r="4945" spans="3:9" ht="16.5" hidden="1" customHeight="1" x14ac:dyDescent="0.25">
      <c r="C4945" s="222"/>
      <c r="D4945" s="339"/>
      <c r="E4945" s="257"/>
      <c r="F4945" s="108"/>
      <c r="G4945" s="342"/>
      <c r="H4945" s="340"/>
      <c r="I4945" s="111"/>
    </row>
    <row r="4946" spans="3:9" ht="16.5" hidden="1" customHeight="1" x14ac:dyDescent="0.25">
      <c r="C4946" s="222"/>
      <c r="D4946" s="121" t="s">
        <v>3537</v>
      </c>
      <c r="E4946" s="112">
        <f>E4947+E4949</f>
        <v>8588897500</v>
      </c>
      <c r="F4946" s="113">
        <f>+F4947+F4949</f>
        <v>8588897500</v>
      </c>
      <c r="G4946" s="342">
        <f>+F4946/E4946*100</f>
        <v>100</v>
      </c>
      <c r="H4946" s="340">
        <f>(H4947+H4949)/2</f>
        <v>100</v>
      </c>
      <c r="I4946" s="111"/>
    </row>
    <row r="4947" spans="3:9" ht="16.5" hidden="1" customHeight="1" x14ac:dyDescent="0.25">
      <c r="C4947" s="222"/>
      <c r="D4947" s="335" t="s">
        <v>899</v>
      </c>
      <c r="E4947" s="112">
        <f>E4948</f>
        <v>7000000000</v>
      </c>
      <c r="F4947" s="113">
        <f>F4948</f>
        <v>7000000000</v>
      </c>
      <c r="G4947" s="342">
        <f>+F4947/E4947*100</f>
        <v>100</v>
      </c>
      <c r="H4947" s="340">
        <v>100</v>
      </c>
      <c r="I4947" s="111"/>
    </row>
    <row r="4948" spans="3:9" ht="16.5" hidden="1" customHeight="1" x14ac:dyDescent="0.25">
      <c r="C4948" s="222"/>
      <c r="D4948" s="339" t="s">
        <v>3538</v>
      </c>
      <c r="E4948" s="257">
        <v>7000000000</v>
      </c>
      <c r="F4948" s="108">
        <v>7000000000</v>
      </c>
      <c r="G4948" s="343">
        <f>+F4948/E4948*100</f>
        <v>100</v>
      </c>
      <c r="H4948" s="569">
        <v>100</v>
      </c>
      <c r="I4948" s="111"/>
    </row>
    <row r="4949" spans="3:9" ht="16.5" hidden="1" customHeight="1" x14ac:dyDescent="0.25">
      <c r="C4949" s="222"/>
      <c r="D4949" s="121" t="s">
        <v>3539</v>
      </c>
      <c r="E4949" s="120">
        <v>1588897500</v>
      </c>
      <c r="F4949" s="113">
        <f>F4950</f>
        <v>1588897500</v>
      </c>
      <c r="G4949" s="342">
        <f>+F4949/E4949*100</f>
        <v>100</v>
      </c>
      <c r="H4949" s="340">
        <v>100</v>
      </c>
      <c r="I4949" s="111"/>
    </row>
    <row r="4950" spans="3:9" ht="16.5" hidden="1" customHeight="1" x14ac:dyDescent="0.25">
      <c r="C4950" s="222"/>
      <c r="D4950" s="338" t="s">
        <v>3515</v>
      </c>
      <c r="E4950" s="107">
        <v>1588897500</v>
      </c>
      <c r="F4950" s="108">
        <v>1588897500</v>
      </c>
      <c r="G4950" s="343">
        <f>+F4950/E4950*100</f>
        <v>100</v>
      </c>
      <c r="H4950" s="569">
        <v>100</v>
      </c>
      <c r="I4950" s="111"/>
    </row>
    <row r="4951" spans="3:9" ht="16.5" hidden="1" customHeight="1" x14ac:dyDescent="0.25">
      <c r="C4951" s="222"/>
      <c r="D4951" s="338"/>
      <c r="E4951" s="107"/>
      <c r="F4951" s="108"/>
      <c r="G4951" s="342"/>
      <c r="H4951" s="340"/>
      <c r="I4951" s="111"/>
    </row>
    <row r="4952" spans="3:9" s="115" customFormat="1" ht="16.5" hidden="1" customHeight="1" x14ac:dyDescent="0.25">
      <c r="C4952" s="222"/>
      <c r="D4952" s="121" t="s">
        <v>2510</v>
      </c>
      <c r="E4952" s="112">
        <f>E4953</f>
        <v>640000000</v>
      </c>
      <c r="F4952" s="113">
        <f>+F4953</f>
        <v>640000000</v>
      </c>
      <c r="G4952" s="342">
        <f>+F4952/E4952*100</f>
        <v>100</v>
      </c>
      <c r="H4952" s="340">
        <f>H4953</f>
        <v>100</v>
      </c>
      <c r="I4952" s="121"/>
    </row>
    <row r="4953" spans="3:9" s="115" customFormat="1" ht="16.5" hidden="1" customHeight="1" x14ac:dyDescent="0.25">
      <c r="C4953" s="222"/>
      <c r="D4953" s="335" t="s">
        <v>396</v>
      </c>
      <c r="E4953" s="112">
        <f>E4954</f>
        <v>640000000</v>
      </c>
      <c r="F4953" s="113">
        <f>+F4954</f>
        <v>640000000</v>
      </c>
      <c r="G4953" s="342">
        <f>+F4953/E4953*100</f>
        <v>100</v>
      </c>
      <c r="H4953" s="340">
        <v>100</v>
      </c>
      <c r="I4953" s="121"/>
    </row>
    <row r="4954" spans="3:9" ht="16.5" hidden="1" customHeight="1" x14ac:dyDescent="0.25">
      <c r="C4954" s="222"/>
      <c r="D4954" s="339" t="s">
        <v>3540</v>
      </c>
      <c r="E4954" s="257">
        <v>640000000</v>
      </c>
      <c r="F4954" s="108">
        <v>640000000</v>
      </c>
      <c r="G4954" s="343">
        <f>+F4954/E4954*100</f>
        <v>100</v>
      </c>
      <c r="H4954" s="569">
        <v>100</v>
      </c>
      <c r="I4954" s="111"/>
    </row>
    <row r="4955" spans="3:9" ht="16.5" hidden="1" customHeight="1" x14ac:dyDescent="0.25">
      <c r="C4955" s="222"/>
      <c r="D4955" s="339"/>
      <c r="E4955" s="257"/>
      <c r="F4955" s="108"/>
      <c r="G4955" s="342"/>
      <c r="H4955" s="340"/>
      <c r="I4955" s="111"/>
    </row>
    <row r="4956" spans="3:9" ht="16.5" hidden="1" customHeight="1" x14ac:dyDescent="0.25">
      <c r="C4956" s="222"/>
      <c r="D4956" s="121" t="s">
        <v>1075</v>
      </c>
      <c r="E4956" s="112">
        <f>+E4957+E4959</f>
        <v>3993535500</v>
      </c>
      <c r="F4956" s="242">
        <f>F4957+F4959</f>
        <v>3992935500</v>
      </c>
      <c r="G4956" s="342">
        <f t="shared" ref="G4956:G4963" si="304">+F4956/E4956*100</f>
        <v>99.984975718883689</v>
      </c>
      <c r="H4956" s="343">
        <f t="shared" ref="H4956:H4963" si="305">+G4956</f>
        <v>99.984975718883689</v>
      </c>
      <c r="I4956" s="111"/>
    </row>
    <row r="4957" spans="3:9" ht="16.5" hidden="1" customHeight="1" x14ac:dyDescent="0.25">
      <c r="C4957" s="222"/>
      <c r="D4957" s="335" t="s">
        <v>151</v>
      </c>
      <c r="E4957" s="112">
        <f>+E4958</f>
        <v>500000000</v>
      </c>
      <c r="F4957" s="242">
        <f>F4958</f>
        <v>499400000</v>
      </c>
      <c r="G4957" s="342">
        <f t="shared" si="304"/>
        <v>99.88</v>
      </c>
      <c r="H4957" s="343">
        <f t="shared" si="305"/>
        <v>99.88</v>
      </c>
      <c r="I4957" s="111"/>
    </row>
    <row r="4958" spans="3:9" ht="18.75" hidden="1" customHeight="1" x14ac:dyDescent="0.25">
      <c r="C4958" s="222"/>
      <c r="D4958" s="339" t="s">
        <v>3541</v>
      </c>
      <c r="E4958" s="257">
        <v>500000000</v>
      </c>
      <c r="F4958" s="243">
        <v>499400000</v>
      </c>
      <c r="G4958" s="343">
        <f t="shared" si="304"/>
        <v>99.88</v>
      </c>
      <c r="H4958" s="343">
        <f t="shared" si="305"/>
        <v>99.88</v>
      </c>
      <c r="I4958" s="111"/>
    </row>
    <row r="4959" spans="3:9" s="115" customFormat="1" ht="16.5" hidden="1" customHeight="1" x14ac:dyDescent="0.25">
      <c r="C4959" s="222"/>
      <c r="D4959" s="121" t="s">
        <v>3542</v>
      </c>
      <c r="E4959" s="256">
        <f>+E4960+E4961+E4962+E4963</f>
        <v>3493535500</v>
      </c>
      <c r="F4959" s="242">
        <f>SUM(F4960:F4963)</f>
        <v>3493535500</v>
      </c>
      <c r="G4959" s="342">
        <f t="shared" si="304"/>
        <v>100</v>
      </c>
      <c r="H4959" s="343">
        <f t="shared" si="305"/>
        <v>100</v>
      </c>
      <c r="I4959" s="121"/>
    </row>
    <row r="4960" spans="3:9" ht="16.5" hidden="1" customHeight="1" x14ac:dyDescent="0.25">
      <c r="C4960" s="222"/>
      <c r="D4960" s="339" t="s">
        <v>3543</v>
      </c>
      <c r="E4960" s="257">
        <v>500000000</v>
      </c>
      <c r="F4960" s="243">
        <v>500000000</v>
      </c>
      <c r="G4960" s="343">
        <f t="shared" si="304"/>
        <v>100</v>
      </c>
      <c r="H4960" s="343">
        <f t="shared" si="305"/>
        <v>100</v>
      </c>
      <c r="I4960" s="111"/>
    </row>
    <row r="4961" spans="3:9" ht="16.5" hidden="1" customHeight="1" x14ac:dyDescent="0.25">
      <c r="C4961" s="222"/>
      <c r="D4961" s="339" t="s">
        <v>3544</v>
      </c>
      <c r="E4961" s="257">
        <v>750000000</v>
      </c>
      <c r="F4961" s="243">
        <v>750000000</v>
      </c>
      <c r="G4961" s="343">
        <f t="shared" si="304"/>
        <v>100</v>
      </c>
      <c r="H4961" s="343">
        <f t="shared" si="305"/>
        <v>100</v>
      </c>
      <c r="I4961" s="111"/>
    </row>
    <row r="4962" spans="3:9" ht="16.5" hidden="1" customHeight="1" x14ac:dyDescent="0.25">
      <c r="C4962" s="222"/>
      <c r="D4962" s="339" t="s">
        <v>3338</v>
      </c>
      <c r="E4962" s="257">
        <v>743535500</v>
      </c>
      <c r="F4962" s="243">
        <v>743535500</v>
      </c>
      <c r="G4962" s="343">
        <f t="shared" si="304"/>
        <v>100</v>
      </c>
      <c r="H4962" s="343">
        <f t="shared" si="305"/>
        <v>100</v>
      </c>
      <c r="I4962" s="111"/>
    </row>
    <row r="4963" spans="3:9" ht="16.5" hidden="1" customHeight="1" x14ac:dyDescent="0.25">
      <c r="C4963" s="222"/>
      <c r="D4963" s="339" t="s">
        <v>3545</v>
      </c>
      <c r="E4963" s="257">
        <v>1500000000</v>
      </c>
      <c r="F4963" s="243">
        <v>1500000000</v>
      </c>
      <c r="G4963" s="343">
        <f t="shared" si="304"/>
        <v>100</v>
      </c>
      <c r="H4963" s="343">
        <f t="shared" si="305"/>
        <v>100</v>
      </c>
      <c r="I4963" s="111"/>
    </row>
    <row r="4964" spans="3:9" ht="16.5" hidden="1" customHeight="1" x14ac:dyDescent="0.25">
      <c r="C4964" s="222"/>
      <c r="D4964" s="48"/>
      <c r="E4964" s="107"/>
      <c r="F4964" s="108"/>
      <c r="G4964" s="117"/>
      <c r="H4964" s="117"/>
      <c r="I4964" s="111"/>
    </row>
    <row r="4965" spans="3:9" s="115" customFormat="1" ht="16.5" customHeight="1" x14ac:dyDescent="0.25">
      <c r="C4965" s="222" t="s">
        <v>3546</v>
      </c>
      <c r="D4965" s="48" t="s">
        <v>3547</v>
      </c>
      <c r="E4965" s="168">
        <f>E4966+E5005+E5048+E5059+E5071+E5077+E5081+E5089+E5097+E5104+E5109+E5115+E5125+E5133+E5145+E5150+E5169+E5177</f>
        <v>109139654000</v>
      </c>
      <c r="F4965" s="113">
        <f>+F4966+F5005+F5048+F5059+F5071+F5077+F5081+F5089+F5097+F5104+F5109+F5115+F5125+F5133+F5145+F5150+F5169+F5177</f>
        <v>105681584511</v>
      </c>
      <c r="G4965" s="114">
        <f>+F4965/E4965*100</f>
        <v>96.831518735619227</v>
      </c>
      <c r="H4965" s="110">
        <f>(H4966+H5005+H5048+H5059+H5071+H5077+H5081+H5089+H5097+H5104+H5109+H5115+H5125+H5133+H5145+H5150+H5169+H5177)/18</f>
        <v>97.672798110648799</v>
      </c>
      <c r="I4965" s="121" t="s">
        <v>677</v>
      </c>
    </row>
    <row r="4966" spans="3:9" s="115" customFormat="1" ht="16.5" hidden="1" customHeight="1" x14ac:dyDescent="0.25">
      <c r="C4966" s="222"/>
      <c r="D4966" s="48" t="s">
        <v>977</v>
      </c>
      <c r="E4966" s="168">
        <f>+E4967+E4974+E4988+E5000+E4997</f>
        <v>32741896200</v>
      </c>
      <c r="F4966" s="242">
        <f>F4967+F4974+F4988+F4997+F5000</f>
        <v>31265138000</v>
      </c>
      <c r="G4966" s="342">
        <f t="shared" ref="G4966:G5002" si="306">F4966/E4966*100</f>
        <v>95.489698608231492</v>
      </c>
      <c r="H4966" s="342">
        <f>+G4966</f>
        <v>95.489698608231492</v>
      </c>
      <c r="I4966" s="121"/>
    </row>
    <row r="4967" spans="3:9" s="115" customFormat="1" ht="16.5" hidden="1" customHeight="1" x14ac:dyDescent="0.25">
      <c r="C4967" s="222"/>
      <c r="D4967" s="121" t="s">
        <v>797</v>
      </c>
      <c r="E4967" s="120">
        <f>SUM(E4968:E4973)</f>
        <v>3606000000</v>
      </c>
      <c r="F4967" s="242">
        <f>SUM(F4968:F4973)</f>
        <v>3103090000</v>
      </c>
      <c r="G4967" s="342">
        <f t="shared" si="306"/>
        <v>86.053521907931227</v>
      </c>
      <c r="H4967" s="342">
        <f t="shared" ref="H4967:H5030" si="307">+G4967</f>
        <v>86.053521907931227</v>
      </c>
      <c r="I4967" s="121"/>
    </row>
    <row r="4968" spans="3:9" ht="16.5" hidden="1" customHeight="1" x14ac:dyDescent="0.25">
      <c r="C4968" s="222"/>
      <c r="D4968" s="118" t="s">
        <v>984</v>
      </c>
      <c r="E4968" s="107">
        <v>216000000</v>
      </c>
      <c r="F4968" s="243">
        <v>216000000</v>
      </c>
      <c r="G4968" s="343">
        <f t="shared" si="306"/>
        <v>100</v>
      </c>
      <c r="H4968" s="343">
        <f t="shared" si="307"/>
        <v>100</v>
      </c>
      <c r="I4968" s="111"/>
    </row>
    <row r="4969" spans="3:9" ht="16.5" hidden="1" customHeight="1" x14ac:dyDescent="0.25">
      <c r="C4969" s="222"/>
      <c r="D4969" s="118" t="s">
        <v>985</v>
      </c>
      <c r="E4969" s="107">
        <v>1075000000</v>
      </c>
      <c r="F4969" s="243">
        <v>1075000000</v>
      </c>
      <c r="G4969" s="343">
        <f t="shared" si="306"/>
        <v>100</v>
      </c>
      <c r="H4969" s="343">
        <f t="shared" si="307"/>
        <v>100</v>
      </c>
      <c r="I4969" s="111"/>
    </row>
    <row r="4970" spans="3:9" ht="16.5" hidden="1" customHeight="1" x14ac:dyDescent="0.25">
      <c r="C4970" s="222"/>
      <c r="D4970" s="118" t="s">
        <v>3548</v>
      </c>
      <c r="E4970" s="107">
        <v>1098000000</v>
      </c>
      <c r="F4970" s="243">
        <v>1098000000</v>
      </c>
      <c r="G4970" s="343">
        <f t="shared" si="306"/>
        <v>100</v>
      </c>
      <c r="H4970" s="343">
        <f t="shared" si="307"/>
        <v>100</v>
      </c>
      <c r="I4970" s="111"/>
    </row>
    <row r="4971" spans="3:9" ht="16.5" hidden="1" customHeight="1" x14ac:dyDescent="0.25">
      <c r="C4971" s="222"/>
      <c r="D4971" s="118" t="s">
        <v>3298</v>
      </c>
      <c r="E4971" s="107">
        <v>257000000</v>
      </c>
      <c r="F4971" s="243">
        <v>257000000</v>
      </c>
      <c r="G4971" s="343">
        <f t="shared" si="306"/>
        <v>100</v>
      </c>
      <c r="H4971" s="343">
        <f t="shared" si="307"/>
        <v>100</v>
      </c>
      <c r="I4971" s="111"/>
    </row>
    <row r="4972" spans="3:9" ht="18.75" hidden="1" customHeight="1" x14ac:dyDescent="0.25">
      <c r="C4972" s="222"/>
      <c r="D4972" s="118" t="s">
        <v>3549</v>
      </c>
      <c r="E4972" s="107">
        <v>500000000</v>
      </c>
      <c r="F4972" s="243">
        <v>0</v>
      </c>
      <c r="G4972" s="343">
        <f t="shared" si="306"/>
        <v>0</v>
      </c>
      <c r="H4972" s="343">
        <f t="shared" si="307"/>
        <v>0</v>
      </c>
      <c r="I4972" s="111"/>
    </row>
    <row r="4973" spans="3:9" ht="16.5" hidden="1" customHeight="1" x14ac:dyDescent="0.25">
      <c r="C4973" s="222"/>
      <c r="D4973" s="118" t="s">
        <v>3550</v>
      </c>
      <c r="E4973" s="107">
        <v>460000000</v>
      </c>
      <c r="F4973" s="243">
        <v>457090000</v>
      </c>
      <c r="G4973" s="343">
        <f t="shared" si="306"/>
        <v>99.367391304347834</v>
      </c>
      <c r="H4973" s="343">
        <f t="shared" si="307"/>
        <v>99.367391304347834</v>
      </c>
      <c r="I4973" s="111"/>
    </row>
    <row r="4974" spans="3:9" s="115" customFormat="1" ht="16.5" hidden="1" customHeight="1" x14ac:dyDescent="0.25">
      <c r="C4974" s="222"/>
      <c r="D4974" s="249" t="s">
        <v>680</v>
      </c>
      <c r="E4974" s="120">
        <f>SUM(E4975:E4987)</f>
        <v>19310896200</v>
      </c>
      <c r="F4974" s="113">
        <f>SUM(F4975:F4987)</f>
        <v>19069298000</v>
      </c>
      <c r="G4974" s="342">
        <f t="shared" si="306"/>
        <v>98.748902187149653</v>
      </c>
      <c r="H4974" s="342">
        <f t="shared" si="307"/>
        <v>98.748902187149653</v>
      </c>
      <c r="I4974" s="121"/>
    </row>
    <row r="4975" spans="3:9" ht="16.5" hidden="1" customHeight="1" x14ac:dyDescent="0.25">
      <c r="C4975" s="222"/>
      <c r="D4975" s="118" t="s">
        <v>3551</v>
      </c>
      <c r="E4975" s="107">
        <v>432000000</v>
      </c>
      <c r="F4975" s="243">
        <v>432000000</v>
      </c>
      <c r="G4975" s="343">
        <f t="shared" si="306"/>
        <v>100</v>
      </c>
      <c r="H4975" s="343">
        <f t="shared" si="307"/>
        <v>100</v>
      </c>
      <c r="I4975" s="111"/>
    </row>
    <row r="4976" spans="3:9" ht="16.5" hidden="1" customHeight="1" x14ac:dyDescent="0.25">
      <c r="C4976" s="222"/>
      <c r="D4976" s="118" t="s">
        <v>3552</v>
      </c>
      <c r="E4976" s="107">
        <v>1542364200</v>
      </c>
      <c r="F4976" s="243">
        <v>1533900000</v>
      </c>
      <c r="G4976" s="343">
        <f t="shared" si="306"/>
        <v>99.451219108949758</v>
      </c>
      <c r="H4976" s="343">
        <f t="shared" si="307"/>
        <v>99.451219108949758</v>
      </c>
      <c r="I4976" s="111"/>
    </row>
    <row r="4977" spans="3:9" ht="16.5" hidden="1" customHeight="1" x14ac:dyDescent="0.25">
      <c r="C4977" s="222"/>
      <c r="D4977" s="118" t="s">
        <v>3553</v>
      </c>
      <c r="E4977" s="107">
        <v>1760584000</v>
      </c>
      <c r="F4977" s="243">
        <v>1742500000</v>
      </c>
      <c r="G4977" s="343">
        <f t="shared" si="306"/>
        <v>98.972840830088188</v>
      </c>
      <c r="H4977" s="343">
        <f t="shared" si="307"/>
        <v>98.972840830088188</v>
      </c>
      <c r="I4977" s="111"/>
    </row>
    <row r="4978" spans="3:9" ht="36" hidden="1" customHeight="1" x14ac:dyDescent="0.25">
      <c r="C4978" s="222"/>
      <c r="D4978" s="118" t="s">
        <v>3554</v>
      </c>
      <c r="E4978" s="107">
        <v>425000000</v>
      </c>
      <c r="F4978" s="243">
        <v>425000000</v>
      </c>
      <c r="G4978" s="343">
        <f t="shared" si="306"/>
        <v>100</v>
      </c>
      <c r="H4978" s="343">
        <f t="shared" si="307"/>
        <v>100</v>
      </c>
      <c r="I4978" s="111"/>
    </row>
    <row r="4979" spans="3:9" ht="36" hidden="1" customHeight="1" x14ac:dyDescent="0.25">
      <c r="C4979" s="222"/>
      <c r="D4979" s="118" t="s">
        <v>3555</v>
      </c>
      <c r="E4979" s="107">
        <v>600000000</v>
      </c>
      <c r="F4979" s="243">
        <v>600000000</v>
      </c>
      <c r="G4979" s="343">
        <f t="shared" si="306"/>
        <v>100</v>
      </c>
      <c r="H4979" s="343">
        <f t="shared" si="307"/>
        <v>100</v>
      </c>
      <c r="I4979" s="111"/>
    </row>
    <row r="4980" spans="3:9" ht="36" hidden="1" customHeight="1" x14ac:dyDescent="0.25">
      <c r="C4980" s="222"/>
      <c r="D4980" s="118" t="s">
        <v>3556</v>
      </c>
      <c r="E4980" s="107">
        <v>450000000</v>
      </c>
      <c r="F4980" s="243">
        <v>436800000</v>
      </c>
      <c r="G4980" s="343">
        <f t="shared" si="306"/>
        <v>97.066666666666663</v>
      </c>
      <c r="H4980" s="343">
        <f t="shared" si="307"/>
        <v>97.066666666666663</v>
      </c>
      <c r="I4980" s="111"/>
    </row>
    <row r="4981" spans="3:9" ht="18.75" hidden="1" customHeight="1" x14ac:dyDescent="0.25">
      <c r="C4981" s="222"/>
      <c r="D4981" s="118" t="s">
        <v>3557</v>
      </c>
      <c r="E4981" s="107">
        <v>625000000</v>
      </c>
      <c r="F4981" s="243">
        <v>619150000</v>
      </c>
      <c r="G4981" s="343">
        <f t="shared" si="306"/>
        <v>99.063999999999993</v>
      </c>
      <c r="H4981" s="343">
        <f t="shared" si="307"/>
        <v>99.063999999999993</v>
      </c>
      <c r="I4981" s="111"/>
    </row>
    <row r="4982" spans="3:9" ht="16.5" hidden="1" customHeight="1" x14ac:dyDescent="0.25">
      <c r="C4982" s="222"/>
      <c r="D4982" s="118" t="s">
        <v>3558</v>
      </c>
      <c r="E4982" s="107">
        <v>603980000</v>
      </c>
      <c r="F4982" s="243">
        <v>603980000</v>
      </c>
      <c r="G4982" s="343">
        <f t="shared" si="306"/>
        <v>100</v>
      </c>
      <c r="H4982" s="343">
        <f t="shared" si="307"/>
        <v>100</v>
      </c>
      <c r="I4982" s="111"/>
    </row>
    <row r="4983" spans="3:9" ht="16.5" hidden="1" customHeight="1" x14ac:dyDescent="0.25">
      <c r="C4983" s="222"/>
      <c r="D4983" s="118" t="s">
        <v>3559</v>
      </c>
      <c r="E4983" s="107">
        <v>4944000000</v>
      </c>
      <c r="F4983" s="108">
        <v>4944000000</v>
      </c>
      <c r="G4983" s="343">
        <f t="shared" si="306"/>
        <v>100</v>
      </c>
      <c r="H4983" s="343">
        <f t="shared" si="307"/>
        <v>100</v>
      </c>
      <c r="I4983" s="111"/>
    </row>
    <row r="4984" spans="3:9" ht="36" hidden="1" customHeight="1" x14ac:dyDescent="0.25">
      <c r="C4984" s="222"/>
      <c r="D4984" s="118" t="s">
        <v>3560</v>
      </c>
      <c r="E4984" s="107">
        <v>600000000</v>
      </c>
      <c r="F4984" s="243">
        <v>404000000</v>
      </c>
      <c r="G4984" s="343">
        <f t="shared" si="306"/>
        <v>67.333333333333329</v>
      </c>
      <c r="H4984" s="343">
        <f t="shared" si="307"/>
        <v>67.333333333333329</v>
      </c>
      <c r="I4984" s="111"/>
    </row>
    <row r="4985" spans="3:9" ht="36" hidden="1" customHeight="1" x14ac:dyDescent="0.25">
      <c r="C4985" s="222"/>
      <c r="D4985" s="118" t="s">
        <v>3561</v>
      </c>
      <c r="E4985" s="107">
        <v>150000000</v>
      </c>
      <c r="F4985" s="108">
        <v>150000000</v>
      </c>
      <c r="G4985" s="343">
        <f t="shared" si="306"/>
        <v>100</v>
      </c>
      <c r="H4985" s="343">
        <f t="shared" si="307"/>
        <v>100</v>
      </c>
      <c r="I4985" s="111"/>
    </row>
    <row r="4986" spans="3:9" ht="16.5" hidden="1" customHeight="1" x14ac:dyDescent="0.25">
      <c r="C4986" s="222"/>
      <c r="D4986" s="118" t="s">
        <v>3562</v>
      </c>
      <c r="E4986" s="107">
        <v>600000000</v>
      </c>
      <c r="F4986" s="108">
        <v>600000000</v>
      </c>
      <c r="G4986" s="343">
        <f t="shared" si="306"/>
        <v>100</v>
      </c>
      <c r="H4986" s="343">
        <f t="shared" si="307"/>
        <v>100</v>
      </c>
      <c r="I4986" s="111"/>
    </row>
    <row r="4987" spans="3:9" ht="16.5" hidden="1" customHeight="1" x14ac:dyDescent="0.25">
      <c r="C4987" s="222"/>
      <c r="D4987" s="118" t="s">
        <v>3563</v>
      </c>
      <c r="E4987" s="107">
        <v>6577968000</v>
      </c>
      <c r="F4987" s="108">
        <v>6577968000</v>
      </c>
      <c r="G4987" s="343">
        <f t="shared" si="306"/>
        <v>100</v>
      </c>
      <c r="H4987" s="343">
        <f t="shared" si="307"/>
        <v>100</v>
      </c>
      <c r="I4987" s="111"/>
    </row>
    <row r="4988" spans="3:9" s="115" customFormat="1" ht="16.5" hidden="1" customHeight="1" x14ac:dyDescent="0.25">
      <c r="C4988" s="222"/>
      <c r="D4988" s="249" t="s">
        <v>92</v>
      </c>
      <c r="E4988" s="120">
        <f>SUM(E4989:E4996)</f>
        <v>6085000000</v>
      </c>
      <c r="F4988" s="113">
        <f>SUM(F4989:F4996)</f>
        <v>5365000000</v>
      </c>
      <c r="G4988" s="342">
        <f t="shared" si="306"/>
        <v>88.16762530813476</v>
      </c>
      <c r="H4988" s="342">
        <f t="shared" si="307"/>
        <v>88.16762530813476</v>
      </c>
      <c r="I4988" s="121"/>
    </row>
    <row r="4989" spans="3:9" ht="18.75" hidden="1" customHeight="1" x14ac:dyDescent="0.25">
      <c r="C4989" s="222"/>
      <c r="D4989" s="118" t="s">
        <v>3564</v>
      </c>
      <c r="E4989" s="107">
        <v>160000000</v>
      </c>
      <c r="F4989" s="108">
        <v>160000000</v>
      </c>
      <c r="G4989" s="343">
        <f t="shared" si="306"/>
        <v>100</v>
      </c>
      <c r="H4989" s="343">
        <f t="shared" si="307"/>
        <v>100</v>
      </c>
      <c r="I4989" s="111"/>
    </row>
    <row r="4990" spans="3:9" ht="18.75" hidden="1" customHeight="1" x14ac:dyDescent="0.25">
      <c r="C4990" s="222"/>
      <c r="D4990" s="118" t="s">
        <v>3565</v>
      </c>
      <c r="E4990" s="107">
        <v>450000000</v>
      </c>
      <c r="F4990" s="243">
        <v>0</v>
      </c>
      <c r="G4990" s="343">
        <f t="shared" si="306"/>
        <v>0</v>
      </c>
      <c r="H4990" s="343">
        <f t="shared" si="307"/>
        <v>0</v>
      </c>
      <c r="I4990" s="111"/>
    </row>
    <row r="4991" spans="3:9" ht="18.75" hidden="1" customHeight="1" x14ac:dyDescent="0.25">
      <c r="C4991" s="222"/>
      <c r="D4991" s="118" t="s">
        <v>3566</v>
      </c>
      <c r="E4991" s="107">
        <v>525000000</v>
      </c>
      <c r="F4991" s="108">
        <v>525000000</v>
      </c>
      <c r="G4991" s="343">
        <f t="shared" si="306"/>
        <v>100</v>
      </c>
      <c r="H4991" s="343">
        <f t="shared" si="307"/>
        <v>100</v>
      </c>
      <c r="I4991" s="111"/>
    </row>
    <row r="4992" spans="3:9" ht="36" hidden="1" customHeight="1" x14ac:dyDescent="0.25">
      <c r="C4992" s="222"/>
      <c r="D4992" s="118" t="s">
        <v>3567</v>
      </c>
      <c r="E4992" s="107">
        <v>1920000000</v>
      </c>
      <c r="F4992" s="108">
        <v>1920000000</v>
      </c>
      <c r="G4992" s="343">
        <f t="shared" si="306"/>
        <v>100</v>
      </c>
      <c r="H4992" s="343">
        <f t="shared" si="307"/>
        <v>100</v>
      </c>
      <c r="I4992" s="111"/>
    </row>
    <row r="4993" spans="3:9" ht="36" hidden="1" customHeight="1" x14ac:dyDescent="0.25">
      <c r="C4993" s="222"/>
      <c r="D4993" s="118" t="s">
        <v>3568</v>
      </c>
      <c r="E4993" s="107">
        <v>2400000000</v>
      </c>
      <c r="F4993" s="108">
        <v>2400000000</v>
      </c>
      <c r="G4993" s="343">
        <f t="shared" si="306"/>
        <v>100</v>
      </c>
      <c r="H4993" s="343">
        <f t="shared" si="307"/>
        <v>100</v>
      </c>
      <c r="I4993" s="111"/>
    </row>
    <row r="4994" spans="3:9" ht="36" hidden="1" customHeight="1" x14ac:dyDescent="0.25">
      <c r="C4994" s="222"/>
      <c r="D4994" s="118" t="s">
        <v>3569</v>
      </c>
      <c r="E4994" s="107">
        <v>120000000</v>
      </c>
      <c r="F4994" s="243">
        <v>0</v>
      </c>
      <c r="G4994" s="343">
        <f t="shared" si="306"/>
        <v>0</v>
      </c>
      <c r="H4994" s="343">
        <f t="shared" si="307"/>
        <v>0</v>
      </c>
      <c r="I4994" s="111"/>
    </row>
    <row r="4995" spans="3:9" ht="36" hidden="1" customHeight="1" x14ac:dyDescent="0.25">
      <c r="C4995" s="222"/>
      <c r="D4995" s="118" t="s">
        <v>3570</v>
      </c>
      <c r="E4995" s="107">
        <v>150000000</v>
      </c>
      <c r="F4995" s="242">
        <v>0</v>
      </c>
      <c r="G4995" s="343">
        <f t="shared" si="306"/>
        <v>0</v>
      </c>
      <c r="H4995" s="343">
        <f t="shared" si="307"/>
        <v>0</v>
      </c>
      <c r="I4995" s="111"/>
    </row>
    <row r="4996" spans="3:9" ht="18.75" hidden="1" customHeight="1" x14ac:dyDescent="0.25">
      <c r="C4996" s="222"/>
      <c r="D4996" s="118" t="s">
        <v>3571</v>
      </c>
      <c r="E4996" s="107">
        <v>360000000</v>
      </c>
      <c r="F4996" s="108">
        <v>360000000</v>
      </c>
      <c r="G4996" s="343">
        <f t="shared" si="306"/>
        <v>100</v>
      </c>
      <c r="H4996" s="343">
        <f t="shared" si="307"/>
        <v>100</v>
      </c>
      <c r="I4996" s="111"/>
    </row>
    <row r="4997" spans="3:9" s="115" customFormat="1" ht="16.5" hidden="1" customHeight="1" x14ac:dyDescent="0.25">
      <c r="C4997" s="222"/>
      <c r="D4997" s="121" t="s">
        <v>100</v>
      </c>
      <c r="E4997" s="120">
        <f>SUM(E4998:E4999)</f>
        <v>140000000</v>
      </c>
      <c r="F4997" s="113">
        <f>SUM(F4998:F4999)</f>
        <v>140000000</v>
      </c>
      <c r="G4997" s="342">
        <f t="shared" si="306"/>
        <v>100</v>
      </c>
      <c r="H4997" s="342">
        <f t="shared" si="307"/>
        <v>100</v>
      </c>
      <c r="I4997" s="121"/>
    </row>
    <row r="4998" spans="3:9" ht="16.5" hidden="1" customHeight="1" x14ac:dyDescent="0.25">
      <c r="C4998" s="222"/>
      <c r="D4998" s="118" t="s">
        <v>3572</v>
      </c>
      <c r="E4998" s="107">
        <v>70000000</v>
      </c>
      <c r="F4998" s="108">
        <v>70000000</v>
      </c>
      <c r="G4998" s="343">
        <f t="shared" si="306"/>
        <v>100</v>
      </c>
      <c r="H4998" s="343">
        <f t="shared" si="307"/>
        <v>100</v>
      </c>
      <c r="I4998" s="111"/>
    </row>
    <row r="4999" spans="3:9" ht="16.5" hidden="1" customHeight="1" x14ac:dyDescent="0.25">
      <c r="C4999" s="222"/>
      <c r="D4999" s="118" t="s">
        <v>3573</v>
      </c>
      <c r="E4999" s="107">
        <v>70000000</v>
      </c>
      <c r="F4999" s="108">
        <v>70000000</v>
      </c>
      <c r="G4999" s="343">
        <f t="shared" si="306"/>
        <v>100</v>
      </c>
      <c r="H4999" s="343">
        <f t="shared" si="307"/>
        <v>100</v>
      </c>
      <c r="I4999" s="111"/>
    </row>
    <row r="5000" spans="3:9" s="115" customFormat="1" ht="16.5" hidden="1" customHeight="1" x14ac:dyDescent="0.25">
      <c r="C5000" s="222"/>
      <c r="D5000" s="249" t="s">
        <v>1371</v>
      </c>
      <c r="E5000" s="120">
        <f>SUM(E5001:E5002)</f>
        <v>3600000000</v>
      </c>
      <c r="F5000" s="113">
        <f>SUM(F5001:F5002)</f>
        <v>3587750000</v>
      </c>
      <c r="G5000" s="342">
        <f t="shared" si="306"/>
        <v>99.659722222222229</v>
      </c>
      <c r="H5000" s="342">
        <f t="shared" si="307"/>
        <v>99.659722222222229</v>
      </c>
      <c r="I5000" s="121"/>
    </row>
    <row r="5001" spans="3:9" ht="36" hidden="1" customHeight="1" x14ac:dyDescent="0.25">
      <c r="C5001" s="222"/>
      <c r="D5001" s="118" t="s">
        <v>3574</v>
      </c>
      <c r="E5001" s="107">
        <v>500000000</v>
      </c>
      <c r="F5001" s="108">
        <v>500000000</v>
      </c>
      <c r="G5001" s="343">
        <f t="shared" si="306"/>
        <v>100</v>
      </c>
      <c r="H5001" s="343">
        <f t="shared" si="307"/>
        <v>100</v>
      </c>
      <c r="I5001" s="111"/>
    </row>
    <row r="5002" spans="3:9" ht="18.75" hidden="1" customHeight="1" x14ac:dyDescent="0.25">
      <c r="C5002" s="222"/>
      <c r="D5002" s="118" t="s">
        <v>3575</v>
      </c>
      <c r="E5002" s="107">
        <v>3100000000</v>
      </c>
      <c r="F5002" s="108">
        <v>3087750000</v>
      </c>
      <c r="G5002" s="343">
        <f t="shared" si="306"/>
        <v>99.604838709677423</v>
      </c>
      <c r="H5002" s="343">
        <f t="shared" si="307"/>
        <v>99.604838709677423</v>
      </c>
      <c r="I5002" s="111"/>
    </row>
    <row r="5003" spans="3:9" ht="16.5" hidden="1" customHeight="1" x14ac:dyDescent="0.25">
      <c r="C5003" s="222"/>
      <c r="D5003" s="118"/>
      <c r="E5003" s="107"/>
      <c r="F5003" s="108"/>
      <c r="G5003" s="117"/>
      <c r="H5003" s="343"/>
      <c r="I5003" s="111"/>
    </row>
    <row r="5004" spans="3:9" s="115" customFormat="1" ht="16.5" hidden="1" customHeight="1" x14ac:dyDescent="0.25">
      <c r="C5004" s="222"/>
      <c r="D5004" s="121" t="s">
        <v>1019</v>
      </c>
      <c r="E5004" s="120">
        <f>+E5005+E5048</f>
        <v>16370948100</v>
      </c>
      <c r="F5004" s="113">
        <f>+F5005+F5048</f>
        <v>15407693990</v>
      </c>
      <c r="G5004" s="342">
        <f>+F5004/E5004*100</f>
        <v>94.116076209416363</v>
      </c>
      <c r="H5004" s="342">
        <f t="shared" si="307"/>
        <v>94.116076209416363</v>
      </c>
      <c r="I5004" s="121"/>
    </row>
    <row r="5005" spans="3:9" ht="16.5" hidden="1" customHeight="1" x14ac:dyDescent="0.25">
      <c r="C5005" s="222"/>
      <c r="D5005" s="121" t="s">
        <v>1020</v>
      </c>
      <c r="E5005" s="120">
        <f>+E5006+E5008+E5012+E5016+E5019+E5021+E5028+E5030+E5033+E5036+E5038+E5040+E5042+E5045</f>
        <v>10370948100</v>
      </c>
      <c r="F5005" s="113">
        <f>+F5006+F5008+F5012+F5016+F5019+F5021+F5028+F5030+F5033+F5036+F5040+F5042+F5045</f>
        <v>9428122600</v>
      </c>
      <c r="G5005" s="342">
        <f t="shared" ref="G5005:G5013" si="308">F5005/E5005*100</f>
        <v>90.908974850621419</v>
      </c>
      <c r="H5005" s="342">
        <f t="shared" si="307"/>
        <v>90.908974850621419</v>
      </c>
      <c r="I5005" s="111"/>
    </row>
    <row r="5006" spans="3:9" s="115" customFormat="1" ht="16.5" hidden="1" customHeight="1" x14ac:dyDescent="0.25">
      <c r="C5006" s="222"/>
      <c r="D5006" s="121" t="s">
        <v>156</v>
      </c>
      <c r="E5006" s="120">
        <f>SUM(E5007)</f>
        <v>2100000000</v>
      </c>
      <c r="F5006" s="113">
        <f>SUM(F5007)</f>
        <v>2095359600</v>
      </c>
      <c r="G5006" s="342">
        <f t="shared" si="308"/>
        <v>99.779028571428569</v>
      </c>
      <c r="H5006" s="342">
        <f t="shared" si="307"/>
        <v>99.779028571428569</v>
      </c>
      <c r="I5006" s="121"/>
    </row>
    <row r="5007" spans="3:9" ht="36" hidden="1" customHeight="1" x14ac:dyDescent="0.25">
      <c r="C5007" s="222"/>
      <c r="D5007" s="118" t="s">
        <v>849</v>
      </c>
      <c r="E5007" s="107">
        <v>2100000000</v>
      </c>
      <c r="F5007" s="243">
        <v>2095359600</v>
      </c>
      <c r="G5007" s="342">
        <f t="shared" si="308"/>
        <v>99.779028571428569</v>
      </c>
      <c r="H5007" s="343">
        <f t="shared" si="307"/>
        <v>99.779028571428569</v>
      </c>
      <c r="I5007" s="111"/>
    </row>
    <row r="5008" spans="3:9" s="115" customFormat="1" ht="16.5" hidden="1" customHeight="1" x14ac:dyDescent="0.25">
      <c r="C5008" s="222"/>
      <c r="D5008" s="249" t="s">
        <v>166</v>
      </c>
      <c r="E5008" s="120">
        <f>SUM(E5009:E5011)</f>
        <v>2091048100</v>
      </c>
      <c r="F5008" s="113">
        <f>SUM(F5009:F5011)</f>
        <v>2088500000</v>
      </c>
      <c r="G5008" s="342">
        <f t="shared" si="308"/>
        <v>99.878142449233948</v>
      </c>
      <c r="H5008" s="342">
        <f t="shared" si="307"/>
        <v>99.878142449233948</v>
      </c>
      <c r="I5008" s="121"/>
    </row>
    <row r="5009" spans="3:9" ht="16.5" hidden="1" customHeight="1" x14ac:dyDescent="0.25">
      <c r="C5009" s="222"/>
      <c r="D5009" s="118" t="s">
        <v>3314</v>
      </c>
      <c r="E5009" s="107">
        <v>470100000</v>
      </c>
      <c r="F5009" s="108">
        <v>470100000</v>
      </c>
      <c r="G5009" s="343">
        <f t="shared" si="308"/>
        <v>100</v>
      </c>
      <c r="H5009" s="343">
        <f t="shared" si="307"/>
        <v>100</v>
      </c>
      <c r="I5009" s="111"/>
    </row>
    <row r="5010" spans="3:9" ht="16.5" hidden="1" customHeight="1" x14ac:dyDescent="0.25">
      <c r="C5010" s="222"/>
      <c r="D5010" s="118" t="s">
        <v>3261</v>
      </c>
      <c r="E5010" s="107">
        <v>750000000</v>
      </c>
      <c r="F5010" s="243">
        <v>748200000</v>
      </c>
      <c r="G5010" s="343">
        <f t="shared" si="308"/>
        <v>99.76</v>
      </c>
      <c r="H5010" s="343">
        <f t="shared" si="307"/>
        <v>99.76</v>
      </c>
      <c r="I5010" s="111"/>
    </row>
    <row r="5011" spans="3:9" ht="16.5" hidden="1" customHeight="1" x14ac:dyDescent="0.25">
      <c r="C5011" s="222"/>
      <c r="D5011" s="118" t="s">
        <v>3576</v>
      </c>
      <c r="E5011" s="107">
        <v>870948100</v>
      </c>
      <c r="F5011" s="243">
        <v>870200000</v>
      </c>
      <c r="G5011" s="343">
        <f t="shared" si="308"/>
        <v>99.914105099947975</v>
      </c>
      <c r="H5011" s="343">
        <f t="shared" si="307"/>
        <v>99.914105099947975</v>
      </c>
      <c r="I5011" s="111"/>
    </row>
    <row r="5012" spans="3:9" s="115" customFormat="1" ht="16.5" hidden="1" customHeight="1" x14ac:dyDescent="0.25">
      <c r="C5012" s="222"/>
      <c r="D5012" s="249" t="s">
        <v>705</v>
      </c>
      <c r="E5012" s="120">
        <f>SUM(E5013:E5015)</f>
        <v>795000000</v>
      </c>
      <c r="F5012" s="113">
        <f>SUM(F5013:F5015)</f>
        <v>541885000</v>
      </c>
      <c r="G5012" s="342">
        <f t="shared" si="308"/>
        <v>68.161635220125788</v>
      </c>
      <c r="H5012" s="342">
        <f t="shared" si="307"/>
        <v>68.161635220125788</v>
      </c>
      <c r="I5012" s="121"/>
    </row>
    <row r="5013" spans="3:9" ht="16.5" hidden="1" customHeight="1" x14ac:dyDescent="0.25">
      <c r="C5013" s="222"/>
      <c r="D5013" s="118" t="s">
        <v>3577</v>
      </c>
      <c r="E5013" s="107">
        <v>320000000</v>
      </c>
      <c r="F5013" s="108">
        <v>316885000</v>
      </c>
      <c r="G5013" s="343">
        <f t="shared" si="308"/>
        <v>99.026562499999997</v>
      </c>
      <c r="H5013" s="343">
        <f t="shared" si="307"/>
        <v>99.026562499999997</v>
      </c>
      <c r="I5013" s="111"/>
    </row>
    <row r="5014" spans="3:9" ht="16.5" hidden="1" customHeight="1" x14ac:dyDescent="0.25">
      <c r="C5014" s="222"/>
      <c r="D5014" s="118" t="s">
        <v>722</v>
      </c>
      <c r="E5014" s="107">
        <v>250000000</v>
      </c>
      <c r="F5014" s="108"/>
      <c r="G5014" s="235"/>
      <c r="H5014" s="343">
        <f t="shared" si="307"/>
        <v>0</v>
      </c>
      <c r="I5014" s="111"/>
    </row>
    <row r="5015" spans="3:9" ht="16.5" hidden="1" customHeight="1" x14ac:dyDescent="0.25">
      <c r="C5015" s="222"/>
      <c r="D5015" s="118" t="s">
        <v>3578</v>
      </c>
      <c r="E5015" s="107">
        <v>225000000</v>
      </c>
      <c r="F5015" s="243">
        <v>225000000</v>
      </c>
      <c r="G5015" s="343">
        <f>F5015/E5014*100</f>
        <v>90</v>
      </c>
      <c r="H5015" s="343">
        <f t="shared" si="307"/>
        <v>90</v>
      </c>
      <c r="I5015" s="111"/>
    </row>
    <row r="5016" spans="3:9" s="115" customFormat="1" ht="16.5" hidden="1" customHeight="1" x14ac:dyDescent="0.25">
      <c r="C5016" s="222"/>
      <c r="D5016" s="249" t="s">
        <v>177</v>
      </c>
      <c r="E5016" s="120">
        <f>SUM(E5017:E5018)</f>
        <v>700000000</v>
      </c>
      <c r="F5016" s="113">
        <f>SUM(F5017:F5018)</f>
        <v>699968000</v>
      </c>
      <c r="G5016" s="342">
        <f t="shared" ref="G5016:G5037" si="309">F5016/E5016*100</f>
        <v>99.995428571428562</v>
      </c>
      <c r="H5016" s="342">
        <f t="shared" si="307"/>
        <v>99.995428571428562</v>
      </c>
      <c r="I5016" s="121"/>
    </row>
    <row r="5017" spans="3:9" ht="16.5" hidden="1" customHeight="1" x14ac:dyDescent="0.25">
      <c r="C5017" s="222"/>
      <c r="D5017" s="118" t="s">
        <v>3579</v>
      </c>
      <c r="E5017" s="107">
        <v>350000000</v>
      </c>
      <c r="F5017" s="243">
        <v>349984000</v>
      </c>
      <c r="G5017" s="343">
        <f t="shared" si="309"/>
        <v>99.995428571428562</v>
      </c>
      <c r="H5017" s="343">
        <f t="shared" si="307"/>
        <v>99.995428571428562</v>
      </c>
      <c r="I5017" s="111"/>
    </row>
    <row r="5018" spans="3:9" ht="16.5" hidden="1" customHeight="1" x14ac:dyDescent="0.25">
      <c r="C5018" s="222"/>
      <c r="D5018" s="118" t="s">
        <v>3580</v>
      </c>
      <c r="E5018" s="107">
        <v>350000000</v>
      </c>
      <c r="F5018" s="243">
        <v>349984000</v>
      </c>
      <c r="G5018" s="343">
        <f t="shared" si="309"/>
        <v>99.995428571428562</v>
      </c>
      <c r="H5018" s="343">
        <f t="shared" si="307"/>
        <v>99.995428571428562</v>
      </c>
      <c r="I5018" s="111"/>
    </row>
    <row r="5019" spans="3:9" s="115" customFormat="1" ht="16.5" hidden="1" customHeight="1" x14ac:dyDescent="0.25">
      <c r="C5019" s="222"/>
      <c r="D5019" s="249" t="s">
        <v>179</v>
      </c>
      <c r="E5019" s="120">
        <f>SUM(E5020)</f>
        <v>175000000</v>
      </c>
      <c r="F5019" s="113">
        <f>SUM(F5020)</f>
        <v>175000000</v>
      </c>
      <c r="G5019" s="342">
        <f t="shared" si="309"/>
        <v>100</v>
      </c>
      <c r="H5019" s="342">
        <f t="shared" si="307"/>
        <v>100</v>
      </c>
      <c r="I5019" s="121"/>
    </row>
    <row r="5020" spans="3:9" ht="16.5" hidden="1" customHeight="1" x14ac:dyDescent="0.25">
      <c r="C5020" s="222"/>
      <c r="D5020" s="118" t="s">
        <v>3581</v>
      </c>
      <c r="E5020" s="344">
        <v>175000000</v>
      </c>
      <c r="F5020" s="345">
        <v>175000000</v>
      </c>
      <c r="G5020" s="343">
        <f t="shared" si="309"/>
        <v>100</v>
      </c>
      <c r="H5020" s="343">
        <f t="shared" si="307"/>
        <v>100</v>
      </c>
      <c r="I5020" s="111"/>
    </row>
    <row r="5021" spans="3:9" s="115" customFormat="1" ht="16.5" hidden="1" customHeight="1" x14ac:dyDescent="0.25">
      <c r="C5021" s="222"/>
      <c r="D5021" s="249" t="s">
        <v>182</v>
      </c>
      <c r="E5021" s="120">
        <f>SUM(E5022:E5027)</f>
        <v>1385000000</v>
      </c>
      <c r="F5021" s="113">
        <f>SUM(F5022:F5027)</f>
        <v>1380680000</v>
      </c>
      <c r="G5021" s="342">
        <f t="shared" si="309"/>
        <v>99.688086642599288</v>
      </c>
      <c r="H5021" s="342">
        <f t="shared" si="307"/>
        <v>99.688086642599288</v>
      </c>
      <c r="I5021" s="121"/>
    </row>
    <row r="5022" spans="3:9" ht="16.5" hidden="1" customHeight="1" x14ac:dyDescent="0.25">
      <c r="C5022" s="222"/>
      <c r="D5022" s="118" t="s">
        <v>3582</v>
      </c>
      <c r="E5022" s="107">
        <v>275000000</v>
      </c>
      <c r="F5022" s="243">
        <v>272145000</v>
      </c>
      <c r="G5022" s="343">
        <f t="shared" si="309"/>
        <v>98.961818181818188</v>
      </c>
      <c r="H5022" s="343">
        <f t="shared" si="307"/>
        <v>98.961818181818188</v>
      </c>
      <c r="I5022" s="111"/>
    </row>
    <row r="5023" spans="3:9" ht="16.5" hidden="1" customHeight="1" x14ac:dyDescent="0.25">
      <c r="C5023" s="222"/>
      <c r="D5023" s="118" t="s">
        <v>3583</v>
      </c>
      <c r="E5023" s="107">
        <v>250000000</v>
      </c>
      <c r="F5023" s="108">
        <v>250000000</v>
      </c>
      <c r="G5023" s="343">
        <f t="shared" si="309"/>
        <v>100</v>
      </c>
      <c r="H5023" s="343">
        <f t="shared" si="307"/>
        <v>100</v>
      </c>
      <c r="I5023" s="111"/>
    </row>
    <row r="5024" spans="3:9" ht="16.5" hidden="1" customHeight="1" x14ac:dyDescent="0.25">
      <c r="C5024" s="222"/>
      <c r="D5024" s="118" t="s">
        <v>3584</v>
      </c>
      <c r="E5024" s="107">
        <v>275000000</v>
      </c>
      <c r="F5024" s="108">
        <v>275000000</v>
      </c>
      <c r="G5024" s="343">
        <f t="shared" si="309"/>
        <v>100</v>
      </c>
      <c r="H5024" s="343">
        <f t="shared" si="307"/>
        <v>100</v>
      </c>
      <c r="I5024" s="111"/>
    </row>
    <row r="5025" spans="3:9" ht="18.75" hidden="1" customHeight="1" x14ac:dyDescent="0.25">
      <c r="C5025" s="222"/>
      <c r="D5025" s="118" t="s">
        <v>3585</v>
      </c>
      <c r="E5025" s="107">
        <v>175000000</v>
      </c>
      <c r="F5025" s="243">
        <v>174915000</v>
      </c>
      <c r="G5025" s="343">
        <f t="shared" si="309"/>
        <v>99.951428571428565</v>
      </c>
      <c r="H5025" s="343">
        <f t="shared" si="307"/>
        <v>99.951428571428565</v>
      </c>
      <c r="I5025" s="111"/>
    </row>
    <row r="5026" spans="3:9" ht="18.75" hidden="1" customHeight="1" x14ac:dyDescent="0.25">
      <c r="C5026" s="222"/>
      <c r="D5026" s="118" t="s">
        <v>3586</v>
      </c>
      <c r="E5026" s="107">
        <v>225000000</v>
      </c>
      <c r="F5026" s="108">
        <v>223620000</v>
      </c>
      <c r="G5026" s="343">
        <f t="shared" si="309"/>
        <v>99.38666666666667</v>
      </c>
      <c r="H5026" s="343">
        <f t="shared" si="307"/>
        <v>99.38666666666667</v>
      </c>
      <c r="I5026" s="111"/>
    </row>
    <row r="5027" spans="3:9" ht="18.75" hidden="1" customHeight="1" x14ac:dyDescent="0.25">
      <c r="C5027" s="222"/>
      <c r="D5027" s="118" t="s">
        <v>3587</v>
      </c>
      <c r="E5027" s="107">
        <v>185000000</v>
      </c>
      <c r="F5027" s="108">
        <v>185000000</v>
      </c>
      <c r="G5027" s="343">
        <f t="shared" si="309"/>
        <v>100</v>
      </c>
      <c r="H5027" s="343">
        <f t="shared" si="307"/>
        <v>100</v>
      </c>
      <c r="I5027" s="111"/>
    </row>
    <row r="5028" spans="3:9" s="115" customFormat="1" ht="36" hidden="1" customHeight="1" x14ac:dyDescent="0.25">
      <c r="C5028" s="222"/>
      <c r="D5028" s="249" t="s">
        <v>1402</v>
      </c>
      <c r="E5028" s="120">
        <f>SUM(E5029)</f>
        <v>150000000</v>
      </c>
      <c r="F5028" s="113">
        <f>SUM(F5029)</f>
        <v>150000000</v>
      </c>
      <c r="G5028" s="342">
        <f t="shared" si="309"/>
        <v>100</v>
      </c>
      <c r="H5028" s="342">
        <f t="shared" si="307"/>
        <v>100</v>
      </c>
      <c r="I5028" s="121"/>
    </row>
    <row r="5029" spans="3:9" ht="16.5" hidden="1" customHeight="1" x14ac:dyDescent="0.25">
      <c r="C5029" s="222"/>
      <c r="D5029" s="118" t="s">
        <v>3588</v>
      </c>
      <c r="E5029" s="107">
        <v>150000000</v>
      </c>
      <c r="F5029" s="108">
        <v>150000000</v>
      </c>
      <c r="G5029" s="343">
        <f t="shared" si="309"/>
        <v>100</v>
      </c>
      <c r="H5029" s="343">
        <f t="shared" si="307"/>
        <v>100</v>
      </c>
      <c r="I5029" s="111"/>
    </row>
    <row r="5030" spans="3:9" s="115" customFormat="1" ht="16.5" hidden="1" customHeight="1" x14ac:dyDescent="0.25">
      <c r="C5030" s="222"/>
      <c r="D5030" s="249" t="s">
        <v>196</v>
      </c>
      <c r="E5030" s="120">
        <f>SUM(E5031:E5032)</f>
        <v>936000000</v>
      </c>
      <c r="F5030" s="113">
        <f>SUM(F5031:F5032)</f>
        <v>935720000</v>
      </c>
      <c r="G5030" s="342">
        <f t="shared" si="309"/>
        <v>99.970085470085465</v>
      </c>
      <c r="H5030" s="342">
        <f t="shared" si="307"/>
        <v>99.970085470085465</v>
      </c>
      <c r="I5030" s="121"/>
    </row>
    <row r="5031" spans="3:9" ht="16.5" hidden="1" customHeight="1" x14ac:dyDescent="0.25">
      <c r="C5031" s="222"/>
      <c r="D5031" s="118" t="s">
        <v>3200</v>
      </c>
      <c r="E5031" s="107">
        <v>225000000</v>
      </c>
      <c r="F5031" s="243">
        <v>224720000</v>
      </c>
      <c r="G5031" s="343">
        <f t="shared" si="309"/>
        <v>99.87555555555555</v>
      </c>
      <c r="H5031" s="343">
        <f t="shared" ref="H5031:H5094" si="310">+G5031</f>
        <v>99.87555555555555</v>
      </c>
      <c r="I5031" s="111"/>
    </row>
    <row r="5032" spans="3:9" ht="16.5" hidden="1" customHeight="1" x14ac:dyDescent="0.25">
      <c r="C5032" s="222"/>
      <c r="D5032" s="118" t="s">
        <v>3589</v>
      </c>
      <c r="E5032" s="107">
        <v>711000000</v>
      </c>
      <c r="F5032" s="108">
        <v>711000000</v>
      </c>
      <c r="G5032" s="343">
        <f t="shared" si="309"/>
        <v>100</v>
      </c>
      <c r="H5032" s="343">
        <f t="shared" si="310"/>
        <v>100</v>
      </c>
      <c r="I5032" s="111"/>
    </row>
    <row r="5033" spans="3:9" s="115" customFormat="1" ht="16.5" hidden="1" customHeight="1" x14ac:dyDescent="0.25">
      <c r="C5033" s="222"/>
      <c r="D5033" s="249" t="s">
        <v>1570</v>
      </c>
      <c r="E5033" s="120">
        <f>SUM(E5034:E5035)</f>
        <v>477400000</v>
      </c>
      <c r="F5033" s="113">
        <f>SUM(F5034:F5035)</f>
        <v>477400000</v>
      </c>
      <c r="G5033" s="342">
        <f t="shared" si="309"/>
        <v>100</v>
      </c>
      <c r="H5033" s="342">
        <f t="shared" si="310"/>
        <v>100</v>
      </c>
      <c r="I5033" s="121"/>
    </row>
    <row r="5034" spans="3:9" ht="16.5" hidden="1" customHeight="1" x14ac:dyDescent="0.25">
      <c r="C5034" s="222"/>
      <c r="D5034" s="118" t="s">
        <v>3590</v>
      </c>
      <c r="E5034" s="107">
        <v>250000000</v>
      </c>
      <c r="F5034" s="108">
        <v>250000000</v>
      </c>
      <c r="G5034" s="343">
        <f t="shared" si="309"/>
        <v>100</v>
      </c>
      <c r="H5034" s="343">
        <f t="shared" si="310"/>
        <v>100</v>
      </c>
      <c r="I5034" s="111"/>
    </row>
    <row r="5035" spans="3:9" ht="16.5" hidden="1" customHeight="1" x14ac:dyDescent="0.25">
      <c r="C5035" s="222"/>
      <c r="D5035" s="118" t="s">
        <v>3591</v>
      </c>
      <c r="E5035" s="107">
        <v>227400000</v>
      </c>
      <c r="F5035" s="108">
        <v>227400000</v>
      </c>
      <c r="G5035" s="343">
        <f t="shared" si="309"/>
        <v>100</v>
      </c>
      <c r="H5035" s="343">
        <f t="shared" si="310"/>
        <v>100</v>
      </c>
      <c r="I5035" s="111"/>
    </row>
    <row r="5036" spans="3:9" s="115" customFormat="1" ht="16.5" hidden="1" customHeight="1" x14ac:dyDescent="0.25">
      <c r="C5036" s="222"/>
      <c r="D5036" s="249" t="s">
        <v>720</v>
      </c>
      <c r="E5036" s="120">
        <f>SUM(E5037)</f>
        <v>350000000</v>
      </c>
      <c r="F5036" s="113">
        <f>SUM(F5037:F5038)</f>
        <v>350000000</v>
      </c>
      <c r="G5036" s="342">
        <f t="shared" si="309"/>
        <v>100</v>
      </c>
      <c r="H5036" s="342">
        <f t="shared" si="310"/>
        <v>100</v>
      </c>
      <c r="I5036" s="121"/>
    </row>
    <row r="5037" spans="3:9" ht="16.5" hidden="1" customHeight="1" x14ac:dyDescent="0.25">
      <c r="C5037" s="222"/>
      <c r="D5037" s="118" t="s">
        <v>3203</v>
      </c>
      <c r="E5037" s="107">
        <v>350000000</v>
      </c>
      <c r="F5037" s="108">
        <v>350000000</v>
      </c>
      <c r="G5037" s="343">
        <f t="shared" si="309"/>
        <v>100</v>
      </c>
      <c r="H5037" s="343">
        <f t="shared" si="310"/>
        <v>100</v>
      </c>
      <c r="I5037" s="111"/>
    </row>
    <row r="5038" spans="3:9" s="115" customFormat="1" ht="16.5" hidden="1" customHeight="1" x14ac:dyDescent="0.25">
      <c r="C5038" s="222"/>
      <c r="D5038" s="249" t="s">
        <v>1578</v>
      </c>
      <c r="E5038" s="120">
        <f>SUM(E5039)</f>
        <v>250000000</v>
      </c>
      <c r="F5038" s="113">
        <v>0</v>
      </c>
      <c r="G5038" s="342">
        <v>0</v>
      </c>
      <c r="H5038" s="342">
        <f t="shared" si="310"/>
        <v>0</v>
      </c>
      <c r="I5038" s="121"/>
    </row>
    <row r="5039" spans="3:9" ht="16.5" hidden="1" customHeight="1" x14ac:dyDescent="0.25">
      <c r="C5039" s="222"/>
      <c r="D5039" s="118" t="s">
        <v>3592</v>
      </c>
      <c r="E5039" s="107">
        <v>250000000</v>
      </c>
      <c r="F5039" s="242">
        <v>0</v>
      </c>
      <c r="G5039" s="343">
        <v>0</v>
      </c>
      <c r="H5039" s="343">
        <f t="shared" si="310"/>
        <v>0</v>
      </c>
      <c r="I5039" s="111"/>
    </row>
    <row r="5040" spans="3:9" s="115" customFormat="1" ht="16.5" hidden="1" customHeight="1" x14ac:dyDescent="0.25">
      <c r="C5040" s="222"/>
      <c r="D5040" s="249" t="s">
        <v>213</v>
      </c>
      <c r="E5040" s="120">
        <f>SUM(E5041)</f>
        <v>175000000</v>
      </c>
      <c r="F5040" s="113">
        <v>174080000</v>
      </c>
      <c r="G5040" s="342">
        <v>99.474285714285713</v>
      </c>
      <c r="H5040" s="342">
        <f t="shared" si="310"/>
        <v>99.474285714285713</v>
      </c>
      <c r="I5040" s="121"/>
    </row>
    <row r="5041" spans="3:9" ht="16.5" hidden="1" customHeight="1" x14ac:dyDescent="0.25">
      <c r="C5041" s="222"/>
      <c r="D5041" s="118" t="s">
        <v>3593</v>
      </c>
      <c r="E5041" s="107">
        <v>175000000</v>
      </c>
      <c r="F5041" s="243">
        <v>174080000</v>
      </c>
      <c r="G5041" s="343">
        <v>99.474285714285713</v>
      </c>
      <c r="H5041" s="343">
        <f t="shared" si="310"/>
        <v>99.474285714285713</v>
      </c>
      <c r="I5041" s="111"/>
    </row>
    <row r="5042" spans="3:9" s="115" customFormat="1" ht="16.5" hidden="1" customHeight="1" x14ac:dyDescent="0.25">
      <c r="C5042" s="222"/>
      <c r="D5042" s="249" t="s">
        <v>2099</v>
      </c>
      <c r="E5042" s="120">
        <f>SUM(E5043:E5044)</f>
        <v>635000000</v>
      </c>
      <c r="F5042" s="113">
        <v>359530000</v>
      </c>
      <c r="G5042" s="342">
        <v>99.86944444444444</v>
      </c>
      <c r="H5042" s="342">
        <f t="shared" si="310"/>
        <v>99.86944444444444</v>
      </c>
      <c r="I5042" s="121"/>
    </row>
    <row r="5043" spans="3:9" ht="16.5" hidden="1" customHeight="1" x14ac:dyDescent="0.25">
      <c r="C5043" s="222"/>
      <c r="D5043" s="118" t="s">
        <v>3594</v>
      </c>
      <c r="E5043" s="107">
        <v>275000000</v>
      </c>
      <c r="F5043" s="108"/>
      <c r="G5043" s="235"/>
      <c r="H5043" s="343">
        <f t="shared" si="310"/>
        <v>0</v>
      </c>
      <c r="I5043" s="111"/>
    </row>
    <row r="5044" spans="3:9" ht="16.5" hidden="1" customHeight="1" x14ac:dyDescent="0.25">
      <c r="C5044" s="222"/>
      <c r="D5044" s="118" t="s">
        <v>3595</v>
      </c>
      <c r="E5044" s="107">
        <v>360000000</v>
      </c>
      <c r="F5044" s="243">
        <v>359530000</v>
      </c>
      <c r="G5044" s="343">
        <v>99.86944444444444</v>
      </c>
      <c r="H5044" s="343">
        <f t="shared" si="310"/>
        <v>99.86944444444444</v>
      </c>
      <c r="I5044" s="111"/>
    </row>
    <row r="5045" spans="3:9" s="115" customFormat="1" ht="16.5" hidden="1" customHeight="1" x14ac:dyDescent="0.25">
      <c r="C5045" s="222"/>
      <c r="D5045" s="249" t="s">
        <v>202</v>
      </c>
      <c r="E5045" s="120">
        <f>SUM(E5046)</f>
        <v>151500000</v>
      </c>
      <c r="F5045" s="242">
        <v>0</v>
      </c>
      <c r="G5045" s="342">
        <v>0</v>
      </c>
      <c r="H5045" s="342">
        <f t="shared" si="310"/>
        <v>0</v>
      </c>
      <c r="I5045" s="121"/>
    </row>
    <row r="5046" spans="3:9" ht="16.5" hidden="1" customHeight="1" x14ac:dyDescent="0.25">
      <c r="C5046" s="222"/>
      <c r="D5046" s="118" t="s">
        <v>3596</v>
      </c>
      <c r="E5046" s="107">
        <v>151500000</v>
      </c>
      <c r="F5046" s="243"/>
      <c r="G5046" s="343"/>
      <c r="H5046" s="343">
        <f t="shared" si="310"/>
        <v>0</v>
      </c>
      <c r="I5046" s="111"/>
    </row>
    <row r="5047" spans="3:9" ht="16.5" hidden="1" customHeight="1" x14ac:dyDescent="0.25">
      <c r="C5047" s="222"/>
      <c r="D5047" s="118"/>
      <c r="E5047" s="107"/>
      <c r="F5047" s="108"/>
      <c r="G5047" s="110"/>
      <c r="H5047" s="343"/>
      <c r="I5047" s="111"/>
    </row>
    <row r="5048" spans="3:9" s="115" customFormat="1" ht="16.5" hidden="1" customHeight="1" x14ac:dyDescent="0.25">
      <c r="C5048" s="222"/>
      <c r="D5048" s="121" t="s">
        <v>2098</v>
      </c>
      <c r="E5048" s="120">
        <f>+E5049+E5052+E5056</f>
        <v>6000000000</v>
      </c>
      <c r="F5048" s="242">
        <f>F5049+F5052+F5056</f>
        <v>5979571390</v>
      </c>
      <c r="G5048" s="342">
        <f t="shared" ref="G5048:G5057" si="311">F5048/E5048*100</f>
        <v>99.659523166666659</v>
      </c>
      <c r="H5048" s="342">
        <f t="shared" si="310"/>
        <v>99.659523166666659</v>
      </c>
      <c r="I5048" s="121"/>
    </row>
    <row r="5049" spans="3:9" s="115" customFormat="1" ht="16.5" hidden="1" customHeight="1" x14ac:dyDescent="0.25">
      <c r="C5049" s="222"/>
      <c r="D5049" s="249" t="s">
        <v>825</v>
      </c>
      <c r="E5049" s="120">
        <f>SUM(E5050:E5051)</f>
        <v>1812750000</v>
      </c>
      <c r="F5049" s="113">
        <f>SUM(F5050:F5051)</f>
        <v>1811950000</v>
      </c>
      <c r="G5049" s="342">
        <f t="shared" si="311"/>
        <v>99.955868156116395</v>
      </c>
      <c r="H5049" s="342">
        <f t="shared" si="310"/>
        <v>99.955868156116395</v>
      </c>
      <c r="I5049" s="121"/>
    </row>
    <row r="5050" spans="3:9" ht="16.5" hidden="1" customHeight="1" x14ac:dyDescent="0.25">
      <c r="C5050" s="222"/>
      <c r="D5050" s="111" t="s">
        <v>3597</v>
      </c>
      <c r="E5050" s="107">
        <v>1452000000</v>
      </c>
      <c r="F5050" s="243">
        <v>1451200000</v>
      </c>
      <c r="G5050" s="343">
        <f t="shared" si="311"/>
        <v>99.944903581267226</v>
      </c>
      <c r="H5050" s="343">
        <f t="shared" si="310"/>
        <v>99.944903581267226</v>
      </c>
      <c r="I5050" s="111"/>
    </row>
    <row r="5051" spans="3:9" ht="16.5" hidden="1" customHeight="1" x14ac:dyDescent="0.25">
      <c r="C5051" s="222"/>
      <c r="D5051" s="111" t="s">
        <v>3598</v>
      </c>
      <c r="E5051" s="107">
        <v>360750000</v>
      </c>
      <c r="F5051" s="243">
        <v>360750000</v>
      </c>
      <c r="G5051" s="343">
        <f t="shared" si="311"/>
        <v>100</v>
      </c>
      <c r="H5051" s="343">
        <f t="shared" si="310"/>
        <v>100</v>
      </c>
      <c r="I5051" s="111"/>
    </row>
    <row r="5052" spans="3:9" s="115" customFormat="1" ht="30" hidden="1" customHeight="1" x14ac:dyDescent="0.25">
      <c r="C5052" s="222"/>
      <c r="D5052" s="249" t="s">
        <v>3599</v>
      </c>
      <c r="E5052" s="120">
        <f>SUM(E5053:E5055)</f>
        <v>3047250000</v>
      </c>
      <c r="F5052" s="220">
        <f>SUM(F5053:F5055)</f>
        <v>3030621390</v>
      </c>
      <c r="G5052" s="342">
        <f t="shared" si="311"/>
        <v>99.45430765444253</v>
      </c>
      <c r="H5052" s="342">
        <f t="shared" si="310"/>
        <v>99.45430765444253</v>
      </c>
      <c r="I5052" s="121"/>
    </row>
    <row r="5053" spans="3:9" ht="16.5" hidden="1" customHeight="1" x14ac:dyDescent="0.25">
      <c r="C5053" s="222"/>
      <c r="D5053" s="118" t="s">
        <v>3600</v>
      </c>
      <c r="E5053" s="107">
        <v>729000000</v>
      </c>
      <c r="F5053" s="243">
        <v>723321390</v>
      </c>
      <c r="G5053" s="343">
        <f t="shared" si="311"/>
        <v>99.221041152263382</v>
      </c>
      <c r="H5053" s="343">
        <f t="shared" si="310"/>
        <v>99.221041152263382</v>
      </c>
      <c r="I5053" s="111"/>
    </row>
    <row r="5054" spans="3:9" ht="16.5" hidden="1" customHeight="1" x14ac:dyDescent="0.25">
      <c r="C5054" s="222"/>
      <c r="D5054" s="118" t="s">
        <v>3601</v>
      </c>
      <c r="E5054" s="107">
        <v>1366776600</v>
      </c>
      <c r="F5054" s="243">
        <v>1359900000</v>
      </c>
      <c r="G5054" s="343">
        <f t="shared" si="311"/>
        <v>99.496874617256395</v>
      </c>
      <c r="H5054" s="343">
        <f t="shared" si="310"/>
        <v>99.496874617256395</v>
      </c>
      <c r="I5054" s="111"/>
    </row>
    <row r="5055" spans="3:9" ht="16.5" hidden="1" customHeight="1" x14ac:dyDescent="0.25">
      <c r="C5055" s="222"/>
      <c r="D5055" s="118" t="s">
        <v>3602</v>
      </c>
      <c r="E5055" s="107">
        <v>951473400</v>
      </c>
      <c r="F5055" s="243">
        <v>947400000</v>
      </c>
      <c r="G5055" s="343">
        <f t="shared" si="311"/>
        <v>99.57188503640775</v>
      </c>
      <c r="H5055" s="343">
        <f t="shared" si="310"/>
        <v>99.57188503640775</v>
      </c>
      <c r="I5055" s="111"/>
    </row>
    <row r="5056" spans="3:9" s="115" customFormat="1" ht="16.5" hidden="1" customHeight="1" x14ac:dyDescent="0.25">
      <c r="C5056" s="222"/>
      <c r="D5056" s="249" t="s">
        <v>3401</v>
      </c>
      <c r="E5056" s="120">
        <f>E5057</f>
        <v>1140000000</v>
      </c>
      <c r="F5056" s="220">
        <f>F5057</f>
        <v>1137000000</v>
      </c>
      <c r="G5056" s="342">
        <f t="shared" si="311"/>
        <v>99.73684210526315</v>
      </c>
      <c r="H5056" s="342">
        <f t="shared" si="310"/>
        <v>99.73684210526315</v>
      </c>
      <c r="I5056" s="121"/>
    </row>
    <row r="5057" spans="3:9" ht="16.5" hidden="1" customHeight="1" x14ac:dyDescent="0.25">
      <c r="C5057" s="222"/>
      <c r="D5057" s="118" t="s">
        <v>3603</v>
      </c>
      <c r="E5057" s="107">
        <v>1140000000</v>
      </c>
      <c r="F5057" s="243">
        <v>1137000000</v>
      </c>
      <c r="G5057" s="343">
        <f t="shared" si="311"/>
        <v>99.73684210526315</v>
      </c>
      <c r="H5057" s="343">
        <f t="shared" si="310"/>
        <v>99.73684210526315</v>
      </c>
      <c r="I5057" s="111"/>
    </row>
    <row r="5058" spans="3:9" ht="16.5" hidden="1" customHeight="1" x14ac:dyDescent="0.25">
      <c r="C5058" s="222"/>
      <c r="D5058" s="32"/>
      <c r="E5058" s="169"/>
      <c r="F5058" s="108"/>
      <c r="G5058" s="110"/>
      <c r="H5058" s="343"/>
      <c r="I5058" s="111"/>
    </row>
    <row r="5059" spans="3:9" s="115" customFormat="1" ht="16.5" hidden="1" customHeight="1" x14ac:dyDescent="0.25">
      <c r="C5059" s="222"/>
      <c r="D5059" s="249" t="s">
        <v>3604</v>
      </c>
      <c r="E5059" s="120">
        <f>+E5060+E5063+E5068</f>
        <v>14787930800</v>
      </c>
      <c r="F5059" s="220">
        <f>F5060+F5063+F5068</f>
        <v>14690122000</v>
      </c>
      <c r="G5059" s="342">
        <f t="shared" ref="G5059:G5069" si="312">F5059/E5059*100</f>
        <v>99.338590359105552</v>
      </c>
      <c r="H5059" s="342">
        <f t="shared" si="310"/>
        <v>99.338590359105552</v>
      </c>
      <c r="I5059" s="121"/>
    </row>
    <row r="5060" spans="3:9" s="115" customFormat="1" ht="16.5" hidden="1" customHeight="1" x14ac:dyDescent="0.25">
      <c r="C5060" s="222"/>
      <c r="D5060" s="249" t="s">
        <v>1740</v>
      </c>
      <c r="E5060" s="120">
        <f>+E5061+E5062</f>
        <v>3500000000</v>
      </c>
      <c r="F5060" s="220">
        <f>SUM(F5061:F5062)</f>
        <v>3465678000</v>
      </c>
      <c r="G5060" s="342">
        <f t="shared" si="312"/>
        <v>99.019371428571418</v>
      </c>
      <c r="H5060" s="342">
        <f t="shared" si="310"/>
        <v>99.019371428571418</v>
      </c>
      <c r="I5060" s="121"/>
    </row>
    <row r="5061" spans="3:9" ht="16.5" hidden="1" customHeight="1" x14ac:dyDescent="0.25">
      <c r="C5061" s="222"/>
      <c r="D5061" s="118" t="s">
        <v>3605</v>
      </c>
      <c r="E5061" s="107">
        <v>1700000000</v>
      </c>
      <c r="F5061" s="243">
        <v>1681605000</v>
      </c>
      <c r="G5061" s="343">
        <f t="shared" si="312"/>
        <v>98.917941176470592</v>
      </c>
      <c r="H5061" s="343">
        <f t="shared" si="310"/>
        <v>98.917941176470592</v>
      </c>
      <c r="I5061" s="111"/>
    </row>
    <row r="5062" spans="3:9" ht="16.5" hidden="1" customHeight="1" x14ac:dyDescent="0.25">
      <c r="C5062" s="222"/>
      <c r="D5062" s="118" t="s">
        <v>3606</v>
      </c>
      <c r="E5062" s="107">
        <v>1800000000</v>
      </c>
      <c r="F5062" s="243">
        <v>1784073000</v>
      </c>
      <c r="G5062" s="343">
        <f t="shared" si="312"/>
        <v>99.115166666666667</v>
      </c>
      <c r="H5062" s="343">
        <f t="shared" si="310"/>
        <v>99.115166666666667</v>
      </c>
      <c r="I5062" s="111"/>
    </row>
    <row r="5063" spans="3:9" s="115" customFormat="1" ht="16.5" hidden="1" customHeight="1" x14ac:dyDescent="0.25">
      <c r="C5063" s="222"/>
      <c r="D5063" s="249" t="s">
        <v>3607</v>
      </c>
      <c r="E5063" s="120">
        <f>+E5064+E5065+E5066+E5067</f>
        <v>1200000000</v>
      </c>
      <c r="F5063" s="113">
        <f>SUM(F5064:F5067)</f>
        <v>1191146000</v>
      </c>
      <c r="G5063" s="342">
        <f t="shared" si="312"/>
        <v>99.262166666666658</v>
      </c>
      <c r="H5063" s="342">
        <f t="shared" si="310"/>
        <v>99.262166666666658</v>
      </c>
      <c r="I5063" s="121"/>
    </row>
    <row r="5064" spans="3:9" ht="16.5" hidden="1" customHeight="1" x14ac:dyDescent="0.25">
      <c r="C5064" s="222"/>
      <c r="D5064" s="118" t="s">
        <v>3608</v>
      </c>
      <c r="E5064" s="107">
        <v>300000000</v>
      </c>
      <c r="F5064" s="243">
        <v>296149000</v>
      </c>
      <c r="G5064" s="343">
        <f t="shared" si="312"/>
        <v>98.716333333333324</v>
      </c>
      <c r="H5064" s="343">
        <f t="shared" si="310"/>
        <v>98.716333333333324</v>
      </c>
      <c r="I5064" s="111"/>
    </row>
    <row r="5065" spans="3:9" ht="16.5" hidden="1" customHeight="1" x14ac:dyDescent="0.25">
      <c r="C5065" s="222"/>
      <c r="D5065" s="118" t="s">
        <v>3609</v>
      </c>
      <c r="E5065" s="107">
        <v>300000000</v>
      </c>
      <c r="F5065" s="243">
        <v>295399000</v>
      </c>
      <c r="G5065" s="343">
        <f t="shared" si="312"/>
        <v>98.466333333333338</v>
      </c>
      <c r="H5065" s="343">
        <f t="shared" si="310"/>
        <v>98.466333333333338</v>
      </c>
      <c r="I5065" s="111"/>
    </row>
    <row r="5066" spans="3:9" ht="16.5" hidden="1" customHeight="1" x14ac:dyDescent="0.25">
      <c r="C5066" s="222"/>
      <c r="D5066" s="118" t="s">
        <v>3610</v>
      </c>
      <c r="E5066" s="107">
        <v>300000000</v>
      </c>
      <c r="F5066" s="243">
        <v>299899000</v>
      </c>
      <c r="G5066" s="343">
        <f t="shared" si="312"/>
        <v>99.966333333333338</v>
      </c>
      <c r="H5066" s="343">
        <f t="shared" si="310"/>
        <v>99.966333333333338</v>
      </c>
      <c r="I5066" s="111"/>
    </row>
    <row r="5067" spans="3:9" ht="16.5" hidden="1" customHeight="1" x14ac:dyDescent="0.25">
      <c r="C5067" s="222"/>
      <c r="D5067" s="118" t="s">
        <v>3611</v>
      </c>
      <c r="E5067" s="107">
        <v>300000000</v>
      </c>
      <c r="F5067" s="243">
        <v>299699000</v>
      </c>
      <c r="G5067" s="343">
        <f t="shared" si="312"/>
        <v>99.899666666666661</v>
      </c>
      <c r="H5067" s="343">
        <f t="shared" si="310"/>
        <v>99.899666666666661</v>
      </c>
      <c r="I5067" s="111"/>
    </row>
    <row r="5068" spans="3:9" s="115" customFormat="1" ht="16.5" hidden="1" customHeight="1" x14ac:dyDescent="0.25">
      <c r="C5068" s="222"/>
      <c r="D5068" s="249" t="s">
        <v>3612</v>
      </c>
      <c r="E5068" s="120">
        <f>E5069</f>
        <v>10087930800</v>
      </c>
      <c r="F5068" s="220">
        <f>F5069</f>
        <v>10033298000</v>
      </c>
      <c r="G5068" s="342">
        <f t="shared" si="312"/>
        <v>99.458434032874209</v>
      </c>
      <c r="H5068" s="342">
        <f t="shared" si="310"/>
        <v>99.458434032874209</v>
      </c>
      <c r="I5068" s="121"/>
    </row>
    <row r="5069" spans="3:9" ht="16.5" hidden="1" customHeight="1" x14ac:dyDescent="0.25">
      <c r="C5069" s="222"/>
      <c r="D5069" s="118" t="s">
        <v>3613</v>
      </c>
      <c r="E5069" s="107">
        <v>10087930800</v>
      </c>
      <c r="F5069" s="243">
        <v>10033298000</v>
      </c>
      <c r="G5069" s="343">
        <f t="shared" si="312"/>
        <v>99.458434032874209</v>
      </c>
      <c r="H5069" s="343">
        <f t="shared" si="310"/>
        <v>99.458434032874209</v>
      </c>
      <c r="I5069" s="111"/>
    </row>
    <row r="5070" spans="3:9" ht="16.5" hidden="1" customHeight="1" x14ac:dyDescent="0.25">
      <c r="C5070" s="222"/>
      <c r="D5070" s="118"/>
      <c r="E5070" s="107"/>
      <c r="F5070" s="108"/>
      <c r="G5070" s="110"/>
      <c r="H5070" s="343"/>
      <c r="I5070" s="111"/>
    </row>
    <row r="5071" spans="3:9" s="115" customFormat="1" ht="16.5" hidden="1" customHeight="1" x14ac:dyDescent="0.25">
      <c r="C5071" s="222"/>
      <c r="D5071" s="121" t="s">
        <v>1111</v>
      </c>
      <c r="E5071" s="120">
        <f>+E5072+E5074</f>
        <v>2882000000</v>
      </c>
      <c r="F5071" s="242">
        <f>F5072+F5074</f>
        <v>2867515000</v>
      </c>
      <c r="G5071" s="342">
        <f>F5071/E5071*100</f>
        <v>99.49739764052741</v>
      </c>
      <c r="H5071" s="342">
        <f t="shared" si="310"/>
        <v>99.49739764052741</v>
      </c>
      <c r="I5071" s="121"/>
    </row>
    <row r="5072" spans="3:9" s="115" customFormat="1" ht="16.5" hidden="1" customHeight="1" x14ac:dyDescent="0.25">
      <c r="C5072" s="222"/>
      <c r="D5072" s="249" t="s">
        <v>2652</v>
      </c>
      <c r="E5072" s="120">
        <f>+E5073</f>
        <v>2500000000</v>
      </c>
      <c r="F5072" s="113">
        <f>F5073</f>
        <v>2486165000</v>
      </c>
      <c r="G5072" s="342">
        <f>F5072/E5072*100</f>
        <v>99.446599999999989</v>
      </c>
      <c r="H5072" s="342">
        <f t="shared" si="310"/>
        <v>99.446599999999989</v>
      </c>
      <c r="I5072" s="121"/>
    </row>
    <row r="5073" spans="3:9" ht="16.5" hidden="1" customHeight="1" x14ac:dyDescent="0.25">
      <c r="C5073" s="222"/>
      <c r="D5073" s="118" t="s">
        <v>3281</v>
      </c>
      <c r="E5073" s="107">
        <v>2500000000</v>
      </c>
      <c r="F5073" s="243">
        <v>2486165000</v>
      </c>
      <c r="G5073" s="343">
        <f>F5073/E5073*100</f>
        <v>99.446599999999989</v>
      </c>
      <c r="H5073" s="343">
        <f t="shared" si="310"/>
        <v>99.446599999999989</v>
      </c>
      <c r="I5073" s="111"/>
    </row>
    <row r="5074" spans="3:9" s="115" customFormat="1" ht="16.5" hidden="1" customHeight="1" x14ac:dyDescent="0.25">
      <c r="C5074" s="222"/>
      <c r="D5074" s="249" t="s">
        <v>3614</v>
      </c>
      <c r="E5074" s="120">
        <f>E5075</f>
        <v>382000000</v>
      </c>
      <c r="F5074" s="113">
        <f>F5075</f>
        <v>381350000</v>
      </c>
      <c r="G5074" s="342">
        <f>F5074/E5074*100</f>
        <v>99.829842931937179</v>
      </c>
      <c r="H5074" s="342">
        <f t="shared" si="310"/>
        <v>99.829842931937179</v>
      </c>
      <c r="I5074" s="121"/>
    </row>
    <row r="5075" spans="3:9" ht="16.5" hidden="1" customHeight="1" x14ac:dyDescent="0.25">
      <c r="C5075" s="222"/>
      <c r="D5075" s="118" t="s">
        <v>3615</v>
      </c>
      <c r="E5075" s="346">
        <v>382000000</v>
      </c>
      <c r="F5075" s="243">
        <v>381350000</v>
      </c>
      <c r="G5075" s="343">
        <f>F5075/E5075*100</f>
        <v>99.829842931937179</v>
      </c>
      <c r="H5075" s="343">
        <f t="shared" si="310"/>
        <v>99.829842931937179</v>
      </c>
      <c r="I5075" s="111"/>
    </row>
    <row r="5076" spans="3:9" ht="16.5" hidden="1" customHeight="1" x14ac:dyDescent="0.25">
      <c r="C5076" s="222"/>
      <c r="D5076" s="118"/>
      <c r="E5076" s="346"/>
      <c r="F5076" s="108"/>
      <c r="G5076" s="110"/>
      <c r="H5076" s="343"/>
      <c r="I5076" s="111"/>
    </row>
    <row r="5077" spans="3:9" s="115" customFormat="1" ht="16.5" hidden="1" customHeight="1" x14ac:dyDescent="0.25">
      <c r="C5077" s="222"/>
      <c r="D5077" s="121" t="s">
        <v>1968</v>
      </c>
      <c r="E5077" s="120">
        <f>E5078</f>
        <v>500793080</v>
      </c>
      <c r="F5077" s="113">
        <f>F5078</f>
        <v>500793080</v>
      </c>
      <c r="G5077" s="342">
        <f>F5077/E5077*100</f>
        <v>100</v>
      </c>
      <c r="H5077" s="342">
        <f t="shared" si="310"/>
        <v>100</v>
      </c>
      <c r="I5077" s="121"/>
    </row>
    <row r="5078" spans="3:9" s="115" customFormat="1" ht="16.5" hidden="1" customHeight="1" x14ac:dyDescent="0.25">
      <c r="C5078" s="222"/>
      <c r="D5078" s="249" t="s">
        <v>275</v>
      </c>
      <c r="E5078" s="120">
        <f>E5079</f>
        <v>500793080</v>
      </c>
      <c r="F5078" s="113">
        <f>F5079</f>
        <v>500793080</v>
      </c>
      <c r="G5078" s="342">
        <f>F5078/E5078*100</f>
        <v>100</v>
      </c>
      <c r="H5078" s="342">
        <f t="shared" si="310"/>
        <v>100</v>
      </c>
      <c r="I5078" s="121"/>
    </row>
    <row r="5079" spans="3:9" ht="16.5" hidden="1" customHeight="1" x14ac:dyDescent="0.25">
      <c r="C5079" s="222"/>
      <c r="D5079" s="111" t="s">
        <v>3616</v>
      </c>
      <c r="E5079" s="107">
        <v>500793080</v>
      </c>
      <c r="F5079" s="108">
        <v>500793080</v>
      </c>
      <c r="G5079" s="343">
        <f>F5079/E5079*100</f>
        <v>100</v>
      </c>
      <c r="H5079" s="343">
        <f t="shared" si="310"/>
        <v>100</v>
      </c>
      <c r="I5079" s="111"/>
    </row>
    <row r="5080" spans="3:9" ht="16.5" hidden="1" customHeight="1" x14ac:dyDescent="0.25">
      <c r="C5080" s="222"/>
      <c r="D5080" s="111"/>
      <c r="E5080" s="107"/>
      <c r="F5080" s="108"/>
      <c r="G5080" s="110"/>
      <c r="H5080" s="343">
        <f t="shared" si="310"/>
        <v>0</v>
      </c>
      <c r="I5080" s="111"/>
    </row>
    <row r="5081" spans="3:9" s="115" customFormat="1" ht="16.5" hidden="1" customHeight="1" x14ac:dyDescent="0.25">
      <c r="C5081" s="222"/>
      <c r="D5081" s="249" t="s">
        <v>298</v>
      </c>
      <c r="E5081" s="199">
        <f>E5082+E5085</f>
        <v>2805479240</v>
      </c>
      <c r="F5081" s="347">
        <f>F5082+F5085</f>
        <v>2273683000</v>
      </c>
      <c r="G5081" s="342">
        <f t="shared" ref="G5081:G5087" si="313">F5081/E5081*100</f>
        <v>81.044370871908498</v>
      </c>
      <c r="H5081" s="342">
        <f t="shared" si="310"/>
        <v>81.044370871908498</v>
      </c>
      <c r="I5081" s="121"/>
    </row>
    <row r="5082" spans="3:9" s="115" customFormat="1" ht="16.5" hidden="1" customHeight="1" x14ac:dyDescent="0.25">
      <c r="C5082" s="222"/>
      <c r="D5082" s="249" t="s">
        <v>744</v>
      </c>
      <c r="E5082" s="120">
        <f>SUM(E5083:E5084)</f>
        <v>2000600000</v>
      </c>
      <c r="F5082" s="220">
        <f>SUM(F5083:F5084)</f>
        <v>1923683000</v>
      </c>
      <c r="G5082" s="342">
        <f t="shared" si="313"/>
        <v>96.155303408977318</v>
      </c>
      <c r="H5082" s="342">
        <f t="shared" si="310"/>
        <v>96.155303408977318</v>
      </c>
      <c r="I5082" s="121"/>
    </row>
    <row r="5083" spans="3:9" ht="16.5" hidden="1" customHeight="1" x14ac:dyDescent="0.25">
      <c r="C5083" s="222"/>
      <c r="D5083" s="118" t="s">
        <v>3617</v>
      </c>
      <c r="E5083" s="107">
        <v>1450000000</v>
      </c>
      <c r="F5083" s="243">
        <v>1373200000</v>
      </c>
      <c r="G5083" s="343">
        <f t="shared" si="313"/>
        <v>94.703448275862073</v>
      </c>
      <c r="H5083" s="343">
        <f t="shared" si="310"/>
        <v>94.703448275862073</v>
      </c>
      <c r="I5083" s="111"/>
    </row>
    <row r="5084" spans="3:9" ht="16.5" hidden="1" customHeight="1" x14ac:dyDescent="0.25">
      <c r="C5084" s="222"/>
      <c r="D5084" s="118" t="s">
        <v>3618</v>
      </c>
      <c r="E5084" s="107">
        <v>550600000</v>
      </c>
      <c r="F5084" s="243">
        <v>550483000</v>
      </c>
      <c r="G5084" s="343">
        <f t="shared" si="313"/>
        <v>99.978750454050129</v>
      </c>
      <c r="H5084" s="343">
        <f t="shared" si="310"/>
        <v>99.978750454050129</v>
      </c>
      <c r="I5084" s="111"/>
    </row>
    <row r="5085" spans="3:9" s="115" customFormat="1" ht="16.5" hidden="1" customHeight="1" x14ac:dyDescent="0.25">
      <c r="C5085" s="222"/>
      <c r="D5085" s="249" t="s">
        <v>2105</v>
      </c>
      <c r="E5085" s="120">
        <f>SUM(E5086:E5087)</f>
        <v>804879240</v>
      </c>
      <c r="F5085" s="220">
        <f>SUM(F5086:F5087)</f>
        <v>350000000</v>
      </c>
      <c r="G5085" s="342">
        <f t="shared" si="313"/>
        <v>43.484784127367973</v>
      </c>
      <c r="H5085" s="342">
        <f t="shared" si="310"/>
        <v>43.484784127367973</v>
      </c>
      <c r="I5085" s="121"/>
    </row>
    <row r="5086" spans="3:9" ht="16.5" hidden="1" customHeight="1" x14ac:dyDescent="0.25">
      <c r="C5086" s="222"/>
      <c r="D5086" s="118" t="s">
        <v>2106</v>
      </c>
      <c r="E5086" s="107">
        <v>454879240</v>
      </c>
      <c r="F5086" s="243"/>
      <c r="G5086" s="379">
        <f t="shared" si="313"/>
        <v>0</v>
      </c>
      <c r="H5086" s="343"/>
      <c r="I5086" s="111"/>
    </row>
    <row r="5087" spans="3:9" ht="31.5" hidden="1" customHeight="1" x14ac:dyDescent="0.25">
      <c r="C5087" s="222"/>
      <c r="D5087" s="118" t="s">
        <v>3619</v>
      </c>
      <c r="E5087" s="107">
        <v>350000000</v>
      </c>
      <c r="F5087" s="221">
        <v>350000000</v>
      </c>
      <c r="G5087" s="343">
        <f t="shared" si="313"/>
        <v>100</v>
      </c>
      <c r="H5087" s="343">
        <f t="shared" si="310"/>
        <v>100</v>
      </c>
      <c r="I5087" s="111"/>
    </row>
    <row r="5088" spans="3:9" ht="16.5" hidden="1" customHeight="1" x14ac:dyDescent="0.25">
      <c r="C5088" s="222"/>
      <c r="D5088" s="118"/>
      <c r="E5088" s="107"/>
      <c r="F5088" s="108"/>
      <c r="G5088" s="110"/>
      <c r="H5088" s="343"/>
      <c r="I5088" s="111"/>
    </row>
    <row r="5089" spans="3:9" s="115" customFormat="1" ht="16.5" hidden="1" customHeight="1" x14ac:dyDescent="0.25">
      <c r="C5089" s="222"/>
      <c r="D5089" s="121" t="s">
        <v>1075</v>
      </c>
      <c r="E5089" s="120">
        <f>E5090+E5092+E5094</f>
        <v>3047613500</v>
      </c>
      <c r="F5089" s="242">
        <f>F5090+F5092+F5094</f>
        <v>3043371500</v>
      </c>
      <c r="G5089" s="342">
        <f t="shared" ref="G5089:G5095" si="314">F5089/E5089*100</f>
        <v>99.860809121629103</v>
      </c>
      <c r="H5089" s="342">
        <f t="shared" si="310"/>
        <v>99.860809121629103</v>
      </c>
      <c r="I5089" s="121"/>
    </row>
    <row r="5090" spans="3:9" s="115" customFormat="1" ht="16.5" hidden="1" customHeight="1" x14ac:dyDescent="0.25">
      <c r="C5090" s="222"/>
      <c r="D5090" s="249" t="s">
        <v>3620</v>
      </c>
      <c r="E5090" s="120">
        <f>E5091</f>
        <v>1020613500</v>
      </c>
      <c r="F5090" s="113">
        <f>F5091</f>
        <v>1020613500</v>
      </c>
      <c r="G5090" s="342">
        <f t="shared" si="314"/>
        <v>100</v>
      </c>
      <c r="H5090" s="342">
        <f t="shared" si="310"/>
        <v>100</v>
      </c>
      <c r="I5090" s="121"/>
    </row>
    <row r="5091" spans="3:9" ht="16.5" hidden="1" customHeight="1" x14ac:dyDescent="0.25">
      <c r="C5091" s="222"/>
      <c r="D5091" s="118" t="s">
        <v>3621</v>
      </c>
      <c r="E5091" s="107">
        <v>1020613500</v>
      </c>
      <c r="F5091" s="108">
        <v>1020613500</v>
      </c>
      <c r="G5091" s="343">
        <f t="shared" si="314"/>
        <v>100</v>
      </c>
      <c r="H5091" s="343">
        <f t="shared" si="310"/>
        <v>100</v>
      </c>
      <c r="I5091" s="111"/>
    </row>
    <row r="5092" spans="3:9" s="115" customFormat="1" ht="16.5" hidden="1" customHeight="1" x14ac:dyDescent="0.25">
      <c r="C5092" s="222"/>
      <c r="D5092" s="249" t="s">
        <v>1058</v>
      </c>
      <c r="E5092" s="120">
        <f>E5093</f>
        <v>718000000</v>
      </c>
      <c r="F5092" s="220">
        <f>F5093</f>
        <v>713758000</v>
      </c>
      <c r="G5092" s="342">
        <f t="shared" si="314"/>
        <v>99.409192200557101</v>
      </c>
      <c r="H5092" s="342">
        <f t="shared" si="310"/>
        <v>99.409192200557101</v>
      </c>
      <c r="I5092" s="121"/>
    </row>
    <row r="5093" spans="3:9" ht="16.5" hidden="1" customHeight="1" x14ac:dyDescent="0.25">
      <c r="C5093" s="222"/>
      <c r="D5093" s="118" t="s">
        <v>497</v>
      </c>
      <c r="E5093" s="107">
        <v>718000000</v>
      </c>
      <c r="F5093" s="243">
        <v>713758000</v>
      </c>
      <c r="G5093" s="343">
        <f t="shared" si="314"/>
        <v>99.409192200557101</v>
      </c>
      <c r="H5093" s="343">
        <f t="shared" si="310"/>
        <v>99.409192200557101</v>
      </c>
      <c r="I5093" s="111"/>
    </row>
    <row r="5094" spans="3:9" s="115" customFormat="1" ht="16.5" hidden="1" customHeight="1" x14ac:dyDescent="0.25">
      <c r="C5094" s="222"/>
      <c r="D5094" s="249" t="s">
        <v>1759</v>
      </c>
      <c r="E5094" s="120">
        <f>E5095</f>
        <v>1309000000</v>
      </c>
      <c r="F5094" s="220">
        <f>F5095</f>
        <v>1309000000</v>
      </c>
      <c r="G5094" s="342">
        <f t="shared" si="314"/>
        <v>100</v>
      </c>
      <c r="H5094" s="342">
        <f t="shared" si="310"/>
        <v>100</v>
      </c>
      <c r="I5094" s="121"/>
    </row>
    <row r="5095" spans="3:9" ht="16.5" hidden="1" customHeight="1" x14ac:dyDescent="0.25">
      <c r="C5095" s="222"/>
      <c r="D5095" s="118" t="s">
        <v>3622</v>
      </c>
      <c r="E5095" s="107">
        <v>1309000000</v>
      </c>
      <c r="F5095" s="221">
        <v>1309000000</v>
      </c>
      <c r="G5095" s="343">
        <f t="shared" si="314"/>
        <v>100</v>
      </c>
      <c r="H5095" s="343">
        <f t="shared" ref="H5095:H5158" si="315">+G5095</f>
        <v>100</v>
      </c>
      <c r="I5095" s="111"/>
    </row>
    <row r="5096" spans="3:9" ht="16.5" hidden="1" customHeight="1" x14ac:dyDescent="0.25">
      <c r="C5096" s="222"/>
      <c r="D5096" s="118"/>
      <c r="E5096" s="107"/>
      <c r="F5096" s="108"/>
      <c r="G5096" s="110"/>
      <c r="H5096" s="343"/>
      <c r="I5096" s="111"/>
    </row>
    <row r="5097" spans="3:9" s="115" customFormat="1" ht="16.5" hidden="1" customHeight="1" x14ac:dyDescent="0.25">
      <c r="C5097" s="222"/>
      <c r="D5097" s="121" t="s">
        <v>3440</v>
      </c>
      <c r="E5097" s="120">
        <f>E5098+E5101</f>
        <v>1440000000</v>
      </c>
      <c r="F5097" s="242">
        <f>F5098+F5101</f>
        <v>1392263818</v>
      </c>
      <c r="G5097" s="342">
        <f t="shared" ref="G5097:G5102" si="316">F5097/E5097*100</f>
        <v>96.684987361111112</v>
      </c>
      <c r="H5097" s="342">
        <f t="shared" si="315"/>
        <v>96.684987361111112</v>
      </c>
      <c r="I5097" s="121"/>
    </row>
    <row r="5098" spans="3:9" ht="16.5" hidden="1" customHeight="1" x14ac:dyDescent="0.25">
      <c r="C5098" s="222"/>
      <c r="D5098" s="249" t="s">
        <v>3623</v>
      </c>
      <c r="E5098" s="120">
        <f>SUM(E5099:E5100)</f>
        <v>940000000</v>
      </c>
      <c r="F5098" s="220">
        <f>SUM(F5099:F5100)</f>
        <v>925180000</v>
      </c>
      <c r="G5098" s="343">
        <f t="shared" si="316"/>
        <v>98.423404255319141</v>
      </c>
      <c r="H5098" s="343">
        <f t="shared" si="315"/>
        <v>98.423404255319141</v>
      </c>
      <c r="I5098" s="111"/>
    </row>
    <row r="5099" spans="3:9" ht="36" hidden="1" customHeight="1" x14ac:dyDescent="0.25">
      <c r="C5099" s="222"/>
      <c r="D5099" s="118" t="s">
        <v>3624</v>
      </c>
      <c r="E5099" s="107">
        <v>650000000</v>
      </c>
      <c r="F5099" s="243">
        <v>639340000</v>
      </c>
      <c r="G5099" s="343">
        <f t="shared" si="316"/>
        <v>98.36</v>
      </c>
      <c r="H5099" s="343">
        <f t="shared" si="315"/>
        <v>98.36</v>
      </c>
      <c r="I5099" s="111"/>
    </row>
    <row r="5100" spans="3:9" ht="16.5" hidden="1" customHeight="1" x14ac:dyDescent="0.25">
      <c r="C5100" s="222"/>
      <c r="D5100" s="118" t="s">
        <v>3625</v>
      </c>
      <c r="E5100" s="107">
        <v>290000000</v>
      </c>
      <c r="F5100" s="243">
        <v>285840000</v>
      </c>
      <c r="G5100" s="343">
        <f t="shared" si="316"/>
        <v>98.565517241379311</v>
      </c>
      <c r="H5100" s="343">
        <f t="shared" si="315"/>
        <v>98.565517241379311</v>
      </c>
      <c r="I5100" s="111"/>
    </row>
    <row r="5101" spans="3:9" s="115" customFormat="1" ht="16.5" hidden="1" customHeight="1" x14ac:dyDescent="0.25">
      <c r="C5101" s="222"/>
      <c r="D5101" s="249" t="s">
        <v>3626</v>
      </c>
      <c r="E5101" s="120">
        <f>E5102</f>
        <v>500000000</v>
      </c>
      <c r="F5101" s="113">
        <f>F5102</f>
        <v>467083818</v>
      </c>
      <c r="G5101" s="342">
        <f t="shared" si="316"/>
        <v>93.416763599999996</v>
      </c>
      <c r="H5101" s="342">
        <f t="shared" si="315"/>
        <v>93.416763599999996</v>
      </c>
      <c r="I5101" s="121"/>
    </row>
    <row r="5102" spans="3:9" ht="16.5" hidden="1" customHeight="1" x14ac:dyDescent="0.25">
      <c r="C5102" s="222"/>
      <c r="D5102" s="118" t="s">
        <v>3627</v>
      </c>
      <c r="E5102" s="107">
        <v>500000000</v>
      </c>
      <c r="F5102" s="243">
        <v>467083818</v>
      </c>
      <c r="G5102" s="343">
        <f t="shared" si="316"/>
        <v>93.416763599999996</v>
      </c>
      <c r="H5102" s="343">
        <f t="shared" si="315"/>
        <v>93.416763599999996</v>
      </c>
      <c r="I5102" s="111"/>
    </row>
    <row r="5103" spans="3:9" ht="16.5" hidden="1" customHeight="1" x14ac:dyDescent="0.25">
      <c r="C5103" s="222"/>
      <c r="D5103" s="118"/>
      <c r="E5103" s="107"/>
      <c r="F5103" s="108"/>
      <c r="G5103" s="110"/>
      <c r="H5103" s="343"/>
      <c r="I5103" s="111"/>
    </row>
    <row r="5104" spans="3:9" s="115" customFormat="1" ht="16.5" hidden="1" customHeight="1" x14ac:dyDescent="0.25">
      <c r="C5104" s="222"/>
      <c r="D5104" s="121" t="s">
        <v>1124</v>
      </c>
      <c r="E5104" s="120">
        <f>E5105</f>
        <v>1643030300</v>
      </c>
      <c r="F5104" s="242">
        <f>F5105</f>
        <v>1643030300</v>
      </c>
      <c r="G5104" s="342">
        <f>F5104/E5104*100</f>
        <v>100</v>
      </c>
      <c r="H5104" s="342">
        <f t="shared" si="315"/>
        <v>100</v>
      </c>
      <c r="I5104" s="121"/>
    </row>
    <row r="5105" spans="3:9" s="115" customFormat="1" ht="16.5" hidden="1" customHeight="1" x14ac:dyDescent="0.25">
      <c r="C5105" s="222"/>
      <c r="D5105" s="249" t="s">
        <v>874</v>
      </c>
      <c r="E5105" s="120">
        <f>SUM(E5106:E5107)</f>
        <v>1643030300</v>
      </c>
      <c r="F5105" s="220">
        <f>SUM(F5106:F5107)</f>
        <v>1643030300</v>
      </c>
      <c r="G5105" s="342">
        <f>F5105/E5105*100</f>
        <v>100</v>
      </c>
      <c r="H5105" s="342">
        <f t="shared" si="315"/>
        <v>100</v>
      </c>
      <c r="I5105" s="121"/>
    </row>
    <row r="5106" spans="3:9" ht="16.5" hidden="1" customHeight="1" x14ac:dyDescent="0.25">
      <c r="C5106" s="222"/>
      <c r="D5106" s="118" t="s">
        <v>794</v>
      </c>
      <c r="E5106" s="107">
        <v>1343030300</v>
      </c>
      <c r="F5106" s="108">
        <v>1343030300</v>
      </c>
      <c r="G5106" s="343">
        <f>F5106/E5106*100</f>
        <v>100</v>
      </c>
      <c r="H5106" s="343">
        <f t="shared" si="315"/>
        <v>100</v>
      </c>
      <c r="I5106" s="111"/>
    </row>
    <row r="5107" spans="3:9" ht="16.5" hidden="1" customHeight="1" x14ac:dyDescent="0.25">
      <c r="C5107" s="222"/>
      <c r="D5107" s="111" t="s">
        <v>3628</v>
      </c>
      <c r="E5107" s="107">
        <v>300000000</v>
      </c>
      <c r="F5107" s="243">
        <v>300000000</v>
      </c>
      <c r="G5107" s="343">
        <f>F5107/E5107*100</f>
        <v>100</v>
      </c>
      <c r="H5107" s="343">
        <f t="shared" si="315"/>
        <v>100</v>
      </c>
      <c r="I5107" s="111"/>
    </row>
    <row r="5108" spans="3:9" ht="16.5" hidden="1" customHeight="1" x14ac:dyDescent="0.25">
      <c r="C5108" s="222"/>
      <c r="D5108" s="111"/>
      <c r="E5108" s="107"/>
      <c r="F5108" s="108"/>
      <c r="G5108" s="110"/>
      <c r="H5108" s="343"/>
      <c r="I5108" s="111"/>
    </row>
    <row r="5109" spans="3:9" s="115" customFormat="1" ht="16.5" hidden="1" customHeight="1" x14ac:dyDescent="0.25">
      <c r="C5109" s="222"/>
      <c r="D5109" s="121" t="s">
        <v>3457</v>
      </c>
      <c r="E5109" s="120">
        <f>E5110+E5112</f>
        <v>1500000000</v>
      </c>
      <c r="F5109" s="242">
        <f>F5110+F5112</f>
        <v>1500000000</v>
      </c>
      <c r="G5109" s="342">
        <f>F5109/E5109*100</f>
        <v>100</v>
      </c>
      <c r="H5109" s="342">
        <f t="shared" si="315"/>
        <v>100</v>
      </c>
      <c r="I5109" s="121"/>
    </row>
    <row r="5110" spans="3:9" s="115" customFormat="1" ht="16.5" hidden="1" customHeight="1" x14ac:dyDescent="0.25">
      <c r="C5110" s="222"/>
      <c r="D5110" s="249" t="s">
        <v>2759</v>
      </c>
      <c r="E5110" s="120">
        <f>E5111</f>
        <v>300000000</v>
      </c>
      <c r="F5110" s="113">
        <f>F5111</f>
        <v>300000000</v>
      </c>
      <c r="G5110" s="342">
        <f>F5110/E5110*100</f>
        <v>100</v>
      </c>
      <c r="H5110" s="342">
        <f t="shared" si="315"/>
        <v>100</v>
      </c>
      <c r="I5110" s="121"/>
    </row>
    <row r="5111" spans="3:9" ht="16.5" hidden="1" customHeight="1" x14ac:dyDescent="0.25">
      <c r="C5111" s="222"/>
      <c r="D5111" s="118" t="s">
        <v>3629</v>
      </c>
      <c r="E5111" s="107">
        <v>300000000</v>
      </c>
      <c r="F5111" s="108">
        <v>300000000</v>
      </c>
      <c r="G5111" s="343">
        <f>F5111/E5111*100</f>
        <v>100</v>
      </c>
      <c r="H5111" s="343">
        <f t="shared" si="315"/>
        <v>100</v>
      </c>
      <c r="I5111" s="111"/>
    </row>
    <row r="5112" spans="3:9" s="115" customFormat="1" ht="16.5" hidden="1" customHeight="1" x14ac:dyDescent="0.25">
      <c r="C5112" s="222"/>
      <c r="D5112" s="249" t="s">
        <v>3630</v>
      </c>
      <c r="E5112" s="120">
        <f>SUM(E5113:E5113)</f>
        <v>1200000000</v>
      </c>
      <c r="F5112" s="113">
        <f>SUM(F5113:F5113)</f>
        <v>1200000000</v>
      </c>
      <c r="G5112" s="342">
        <f>F5112/E5112*100</f>
        <v>100</v>
      </c>
      <c r="H5112" s="342">
        <f t="shared" si="315"/>
        <v>100</v>
      </c>
      <c r="I5112" s="121"/>
    </row>
    <row r="5113" spans="3:9" ht="16.5" hidden="1" customHeight="1" x14ac:dyDescent="0.25">
      <c r="C5113" s="222"/>
      <c r="D5113" s="118" t="s">
        <v>3631</v>
      </c>
      <c r="E5113" s="107">
        <v>1200000000</v>
      </c>
      <c r="F5113" s="108">
        <v>1200000000</v>
      </c>
      <c r="G5113" s="343">
        <f>F5113/E5113*100</f>
        <v>100</v>
      </c>
      <c r="H5113" s="343">
        <f t="shared" si="315"/>
        <v>100</v>
      </c>
      <c r="I5113" s="111"/>
    </row>
    <row r="5114" spans="3:9" ht="16.5" hidden="1" customHeight="1" x14ac:dyDescent="0.25">
      <c r="C5114" s="222"/>
      <c r="D5114" s="118"/>
      <c r="E5114" s="107"/>
      <c r="F5114" s="243"/>
      <c r="G5114" s="247"/>
      <c r="H5114" s="343"/>
      <c r="I5114" s="111"/>
    </row>
    <row r="5115" spans="3:9" s="115" customFormat="1" ht="16.5" hidden="1" customHeight="1" x14ac:dyDescent="0.25">
      <c r="C5115" s="222"/>
      <c r="D5115" s="121" t="s">
        <v>1933</v>
      </c>
      <c r="E5115" s="120">
        <f>+E5116+E5118+E5121</f>
        <v>5600000000</v>
      </c>
      <c r="F5115" s="242">
        <f>F5116+F5118+F5121</f>
        <v>5494500000</v>
      </c>
      <c r="G5115" s="342">
        <f t="shared" ref="G5115:G5123" si="317">F5115/E5115*100</f>
        <v>98.116071428571431</v>
      </c>
      <c r="H5115" s="342">
        <f t="shared" si="315"/>
        <v>98.116071428571431</v>
      </c>
      <c r="I5115" s="121"/>
    </row>
    <row r="5116" spans="3:9" ht="16.5" hidden="1" customHeight="1" x14ac:dyDescent="0.25">
      <c r="C5116" s="222"/>
      <c r="D5116" s="249" t="s">
        <v>3632</v>
      </c>
      <c r="E5116" s="120">
        <f>+E5117</f>
        <v>2400000000</v>
      </c>
      <c r="F5116" s="242">
        <f>F5117</f>
        <v>2380000000</v>
      </c>
      <c r="G5116" s="343">
        <f t="shared" si="317"/>
        <v>99.166666666666671</v>
      </c>
      <c r="H5116" s="343">
        <f t="shared" si="315"/>
        <v>99.166666666666671</v>
      </c>
      <c r="I5116" s="111"/>
    </row>
    <row r="5117" spans="3:9" ht="16.5" hidden="1" customHeight="1" x14ac:dyDescent="0.25">
      <c r="C5117" s="222"/>
      <c r="D5117" s="111" t="s">
        <v>3633</v>
      </c>
      <c r="E5117" s="107">
        <v>2400000000</v>
      </c>
      <c r="F5117" s="243">
        <v>2380000000</v>
      </c>
      <c r="G5117" s="343">
        <f t="shared" si="317"/>
        <v>99.166666666666671</v>
      </c>
      <c r="H5117" s="343">
        <f t="shared" si="315"/>
        <v>99.166666666666671</v>
      </c>
      <c r="I5117" s="111"/>
    </row>
    <row r="5118" spans="3:9" s="115" customFormat="1" ht="16.5" hidden="1" customHeight="1" x14ac:dyDescent="0.25">
      <c r="C5118" s="222"/>
      <c r="D5118" s="249" t="s">
        <v>1285</v>
      </c>
      <c r="E5118" s="120">
        <f>+E5119+E5120</f>
        <v>1200000000</v>
      </c>
      <c r="F5118" s="220">
        <f>SUM(F5119:F5120)</f>
        <v>1159600000</v>
      </c>
      <c r="G5118" s="342">
        <f t="shared" si="317"/>
        <v>96.63333333333334</v>
      </c>
      <c r="H5118" s="342">
        <f t="shared" si="315"/>
        <v>96.63333333333334</v>
      </c>
      <c r="I5118" s="121"/>
    </row>
    <row r="5119" spans="3:9" ht="27" hidden="1" customHeight="1" x14ac:dyDescent="0.25">
      <c r="C5119" s="222"/>
      <c r="D5119" s="118" t="s">
        <v>3634</v>
      </c>
      <c r="E5119" s="107">
        <v>600000000</v>
      </c>
      <c r="F5119" s="243">
        <v>578800000</v>
      </c>
      <c r="G5119" s="343">
        <f t="shared" si="317"/>
        <v>96.466666666666669</v>
      </c>
      <c r="H5119" s="343">
        <f t="shared" si="315"/>
        <v>96.466666666666669</v>
      </c>
      <c r="I5119" s="111"/>
    </row>
    <row r="5120" spans="3:9" ht="16.5" hidden="1" customHeight="1" x14ac:dyDescent="0.25">
      <c r="C5120" s="222"/>
      <c r="D5120" s="118" t="s">
        <v>3635</v>
      </c>
      <c r="E5120" s="107">
        <v>600000000</v>
      </c>
      <c r="F5120" s="243">
        <v>580800000</v>
      </c>
      <c r="G5120" s="343">
        <f t="shared" si="317"/>
        <v>96.8</v>
      </c>
      <c r="H5120" s="343">
        <f t="shared" si="315"/>
        <v>96.8</v>
      </c>
      <c r="I5120" s="111"/>
    </row>
    <row r="5121" spans="3:9" s="115" customFormat="1" ht="16.5" hidden="1" customHeight="1" x14ac:dyDescent="0.25">
      <c r="C5121" s="222"/>
      <c r="D5121" s="249" t="s">
        <v>2851</v>
      </c>
      <c r="E5121" s="120">
        <f>+E5122+E5123</f>
        <v>2000000000</v>
      </c>
      <c r="F5121" s="220">
        <f>SUM(F5122:F5123)</f>
        <v>1954900000</v>
      </c>
      <c r="G5121" s="342">
        <f t="shared" si="317"/>
        <v>97.745000000000005</v>
      </c>
      <c r="H5121" s="342">
        <f t="shared" si="315"/>
        <v>97.745000000000005</v>
      </c>
      <c r="I5121" s="121"/>
    </row>
    <row r="5122" spans="3:9" ht="16.5" hidden="1" customHeight="1" x14ac:dyDescent="0.25">
      <c r="C5122" s="222"/>
      <c r="D5122" s="118" t="s">
        <v>3636</v>
      </c>
      <c r="E5122" s="107">
        <v>1000000000</v>
      </c>
      <c r="F5122" s="243">
        <v>977600000</v>
      </c>
      <c r="G5122" s="343">
        <f t="shared" si="317"/>
        <v>97.76</v>
      </c>
      <c r="H5122" s="343">
        <f t="shared" si="315"/>
        <v>97.76</v>
      </c>
      <c r="I5122" s="111"/>
    </row>
    <row r="5123" spans="3:9" ht="16.5" hidden="1" customHeight="1" x14ac:dyDescent="0.25">
      <c r="C5123" s="222"/>
      <c r="D5123" s="118" t="s">
        <v>3637</v>
      </c>
      <c r="E5123" s="107">
        <v>1000000000</v>
      </c>
      <c r="F5123" s="243">
        <v>977300000</v>
      </c>
      <c r="G5123" s="343">
        <f t="shared" si="317"/>
        <v>97.72999999999999</v>
      </c>
      <c r="H5123" s="343">
        <f t="shared" si="315"/>
        <v>97.72999999999999</v>
      </c>
      <c r="I5123" s="111"/>
    </row>
    <row r="5124" spans="3:9" ht="16.5" hidden="1" customHeight="1" x14ac:dyDescent="0.25">
      <c r="C5124" s="222"/>
      <c r="D5124" s="118"/>
      <c r="E5124" s="107"/>
      <c r="F5124" s="242"/>
      <c r="G5124" s="343"/>
      <c r="H5124" s="343"/>
      <c r="I5124" s="111"/>
    </row>
    <row r="5125" spans="3:9" s="115" customFormat="1" ht="16.5" hidden="1" customHeight="1" x14ac:dyDescent="0.25">
      <c r="C5125" s="222"/>
      <c r="D5125" s="121" t="s">
        <v>3638</v>
      </c>
      <c r="E5125" s="120">
        <f>E5126+E5128+E5130</f>
        <v>1280000000</v>
      </c>
      <c r="F5125" s="242">
        <f>F5126+F5128+F5130</f>
        <v>1280000000</v>
      </c>
      <c r="G5125" s="342">
        <f t="shared" ref="G5125:G5131" si="318">F5125/E5125*100</f>
        <v>100</v>
      </c>
      <c r="H5125" s="342">
        <f t="shared" si="315"/>
        <v>100</v>
      </c>
      <c r="I5125" s="121"/>
    </row>
    <row r="5126" spans="3:9" s="115" customFormat="1" ht="16.5" hidden="1" customHeight="1" x14ac:dyDescent="0.25">
      <c r="C5126" s="222"/>
      <c r="D5126" s="249" t="s">
        <v>370</v>
      </c>
      <c r="E5126" s="120">
        <f>E5127</f>
        <v>550000000</v>
      </c>
      <c r="F5126" s="242">
        <f>F5127</f>
        <v>550000000</v>
      </c>
      <c r="G5126" s="342">
        <f t="shared" si="318"/>
        <v>100</v>
      </c>
      <c r="H5126" s="342">
        <f t="shared" si="315"/>
        <v>100</v>
      </c>
      <c r="I5126" s="121"/>
    </row>
    <row r="5127" spans="3:9" ht="18.75" hidden="1" customHeight="1" x14ac:dyDescent="0.25">
      <c r="C5127" s="222"/>
      <c r="D5127" s="118" t="s">
        <v>3639</v>
      </c>
      <c r="E5127" s="107">
        <v>550000000</v>
      </c>
      <c r="F5127" s="243">
        <v>550000000</v>
      </c>
      <c r="G5127" s="343">
        <f t="shared" si="318"/>
        <v>100</v>
      </c>
      <c r="H5127" s="343">
        <f t="shared" si="315"/>
        <v>100</v>
      </c>
      <c r="I5127" s="111"/>
    </row>
    <row r="5128" spans="3:9" s="115" customFormat="1" ht="18.75" hidden="1" customHeight="1" x14ac:dyDescent="0.25">
      <c r="C5128" s="222"/>
      <c r="D5128" s="249" t="s">
        <v>364</v>
      </c>
      <c r="E5128" s="120">
        <f>E5129</f>
        <v>230000000</v>
      </c>
      <c r="F5128" s="242">
        <f>F5129</f>
        <v>230000000</v>
      </c>
      <c r="G5128" s="342">
        <f t="shared" si="318"/>
        <v>100</v>
      </c>
      <c r="H5128" s="342">
        <f t="shared" si="315"/>
        <v>100</v>
      </c>
      <c r="I5128" s="121"/>
    </row>
    <row r="5129" spans="3:9" ht="16.5" hidden="1" customHeight="1" x14ac:dyDescent="0.25">
      <c r="C5129" s="222"/>
      <c r="D5129" s="118" t="s">
        <v>3640</v>
      </c>
      <c r="E5129" s="107">
        <v>230000000</v>
      </c>
      <c r="F5129" s="243">
        <v>230000000</v>
      </c>
      <c r="G5129" s="343">
        <f t="shared" si="318"/>
        <v>100</v>
      </c>
      <c r="H5129" s="343">
        <f t="shared" si="315"/>
        <v>100</v>
      </c>
      <c r="I5129" s="111"/>
    </row>
    <row r="5130" spans="3:9" s="115" customFormat="1" ht="16.5" hidden="1" customHeight="1" x14ac:dyDescent="0.25">
      <c r="C5130" s="222"/>
      <c r="D5130" s="249" t="s">
        <v>899</v>
      </c>
      <c r="E5130" s="120">
        <f>E5131</f>
        <v>500000000</v>
      </c>
      <c r="F5130" s="242">
        <f>F5131</f>
        <v>500000000</v>
      </c>
      <c r="G5130" s="342">
        <f t="shared" si="318"/>
        <v>100</v>
      </c>
      <c r="H5130" s="342">
        <f t="shared" si="315"/>
        <v>100</v>
      </c>
      <c r="I5130" s="121"/>
    </row>
    <row r="5131" spans="3:9" ht="16.5" hidden="1" customHeight="1" x14ac:dyDescent="0.25">
      <c r="C5131" s="222"/>
      <c r="D5131" s="118" t="s">
        <v>3641</v>
      </c>
      <c r="E5131" s="107">
        <v>500000000</v>
      </c>
      <c r="F5131" s="243">
        <v>500000000</v>
      </c>
      <c r="G5131" s="343">
        <f t="shared" si="318"/>
        <v>100</v>
      </c>
      <c r="H5131" s="343">
        <f t="shared" si="315"/>
        <v>100</v>
      </c>
      <c r="I5131" s="111"/>
    </row>
    <row r="5132" spans="3:9" ht="16.5" hidden="1" customHeight="1" x14ac:dyDescent="0.25">
      <c r="C5132" s="222"/>
      <c r="D5132" s="118"/>
      <c r="E5132" s="107"/>
      <c r="F5132" s="221"/>
      <c r="G5132" s="343"/>
      <c r="H5132" s="343"/>
      <c r="I5132" s="111"/>
    </row>
    <row r="5133" spans="3:9" s="115" customFormat="1" ht="16.5" hidden="1" customHeight="1" x14ac:dyDescent="0.25">
      <c r="C5133" s="222"/>
      <c r="D5133" s="121" t="s">
        <v>3642</v>
      </c>
      <c r="E5133" s="120">
        <f>+E5134+E5137+E5139</f>
        <v>3197969700</v>
      </c>
      <c r="F5133" s="242">
        <f>F5134+F5137+F5139</f>
        <v>3174644700</v>
      </c>
      <c r="G5133" s="342">
        <f t="shared" ref="G5133:G5143" si="319">F5133/E5133*100</f>
        <v>99.270630988154764</v>
      </c>
      <c r="H5133" s="342">
        <f t="shared" si="315"/>
        <v>99.270630988154764</v>
      </c>
      <c r="I5133" s="121"/>
    </row>
    <row r="5134" spans="3:9" s="115" customFormat="1" ht="16.5" hidden="1" customHeight="1" x14ac:dyDescent="0.25">
      <c r="C5134" s="222"/>
      <c r="D5134" s="249" t="s">
        <v>418</v>
      </c>
      <c r="E5134" s="120">
        <f>SUM(E5135:E5136)</f>
        <v>650000000</v>
      </c>
      <c r="F5134" s="113">
        <f>SUM(F5135:F5136)</f>
        <v>647675000</v>
      </c>
      <c r="G5134" s="342">
        <f t="shared" si="319"/>
        <v>99.642307692307696</v>
      </c>
      <c r="H5134" s="342">
        <f t="shared" si="315"/>
        <v>99.642307692307696</v>
      </c>
      <c r="I5134" s="121"/>
    </row>
    <row r="5135" spans="3:9" ht="16.5" hidden="1" customHeight="1" x14ac:dyDescent="0.25">
      <c r="C5135" s="222"/>
      <c r="D5135" s="118" t="s">
        <v>3231</v>
      </c>
      <c r="E5135" s="107">
        <v>500000000</v>
      </c>
      <c r="F5135" s="221">
        <v>500000000</v>
      </c>
      <c r="G5135" s="343">
        <f t="shared" si="319"/>
        <v>100</v>
      </c>
      <c r="H5135" s="343">
        <f t="shared" si="315"/>
        <v>100</v>
      </c>
      <c r="I5135" s="111"/>
    </row>
    <row r="5136" spans="3:9" ht="16.5" hidden="1" customHeight="1" x14ac:dyDescent="0.25">
      <c r="C5136" s="222"/>
      <c r="D5136" s="118" t="s">
        <v>3643</v>
      </c>
      <c r="E5136" s="107">
        <v>150000000</v>
      </c>
      <c r="F5136" s="243">
        <v>147675000</v>
      </c>
      <c r="G5136" s="343">
        <f t="shared" si="319"/>
        <v>98.45</v>
      </c>
      <c r="H5136" s="343">
        <f t="shared" si="315"/>
        <v>98.45</v>
      </c>
      <c r="I5136" s="111"/>
    </row>
    <row r="5137" spans="3:9" s="115" customFormat="1" ht="16.5" hidden="1" customHeight="1" x14ac:dyDescent="0.25">
      <c r="C5137" s="222"/>
      <c r="D5137" s="249" t="s">
        <v>768</v>
      </c>
      <c r="E5137" s="120">
        <f>+E5138</f>
        <v>500000000</v>
      </c>
      <c r="F5137" s="220">
        <f>F5138</f>
        <v>495000000</v>
      </c>
      <c r="G5137" s="342">
        <f t="shared" si="319"/>
        <v>99</v>
      </c>
      <c r="H5137" s="342">
        <f t="shared" si="315"/>
        <v>99</v>
      </c>
      <c r="I5137" s="121"/>
    </row>
    <row r="5138" spans="3:9" ht="16.5" hidden="1" customHeight="1" x14ac:dyDescent="0.25">
      <c r="C5138" s="222"/>
      <c r="D5138" s="118" t="s">
        <v>2769</v>
      </c>
      <c r="E5138" s="107">
        <v>500000000</v>
      </c>
      <c r="F5138" s="243">
        <v>495000000</v>
      </c>
      <c r="G5138" s="343">
        <f t="shared" si="319"/>
        <v>99</v>
      </c>
      <c r="H5138" s="343">
        <f t="shared" si="315"/>
        <v>99</v>
      </c>
      <c r="I5138" s="111"/>
    </row>
    <row r="5139" spans="3:9" s="115" customFormat="1" ht="16.5" hidden="1" customHeight="1" x14ac:dyDescent="0.25">
      <c r="C5139" s="222"/>
      <c r="D5139" s="249" t="s">
        <v>517</v>
      </c>
      <c r="E5139" s="120">
        <f>+E5140+E5141+E5142+E5143</f>
        <v>2047969700</v>
      </c>
      <c r="F5139" s="113">
        <f>SUM(F5140:F5143)</f>
        <v>2031969700</v>
      </c>
      <c r="G5139" s="342">
        <f t="shared" si="319"/>
        <v>99.218738441296267</v>
      </c>
      <c r="H5139" s="342">
        <f t="shared" si="315"/>
        <v>99.218738441296267</v>
      </c>
      <c r="I5139" s="121"/>
    </row>
    <row r="5140" spans="3:9" ht="16.5" hidden="1" customHeight="1" x14ac:dyDescent="0.25">
      <c r="C5140" s="222"/>
      <c r="D5140" s="118" t="s">
        <v>3644</v>
      </c>
      <c r="E5140" s="107">
        <v>420000000</v>
      </c>
      <c r="F5140" s="243">
        <v>410000000</v>
      </c>
      <c r="G5140" s="343">
        <f t="shared" si="319"/>
        <v>97.61904761904762</v>
      </c>
      <c r="H5140" s="343">
        <f t="shared" si="315"/>
        <v>97.61904761904762</v>
      </c>
      <c r="I5140" s="111"/>
    </row>
    <row r="5141" spans="3:9" ht="16.5" hidden="1" customHeight="1" x14ac:dyDescent="0.25">
      <c r="C5141" s="222"/>
      <c r="D5141" s="118" t="s">
        <v>948</v>
      </c>
      <c r="E5141" s="107">
        <v>1000000000</v>
      </c>
      <c r="F5141" s="243">
        <v>999000000</v>
      </c>
      <c r="G5141" s="343">
        <f t="shared" si="319"/>
        <v>99.9</v>
      </c>
      <c r="H5141" s="343">
        <f t="shared" si="315"/>
        <v>99.9</v>
      </c>
      <c r="I5141" s="111"/>
    </row>
    <row r="5142" spans="3:9" ht="16.5" hidden="1" customHeight="1" x14ac:dyDescent="0.25">
      <c r="C5142" s="222"/>
      <c r="D5142" s="118" t="s">
        <v>3645</v>
      </c>
      <c r="E5142" s="107">
        <v>377969700</v>
      </c>
      <c r="F5142" s="243">
        <v>372969700</v>
      </c>
      <c r="G5142" s="343">
        <f t="shared" si="319"/>
        <v>98.677142638682412</v>
      </c>
      <c r="H5142" s="343">
        <f t="shared" si="315"/>
        <v>98.677142638682412</v>
      </c>
      <c r="I5142" s="111"/>
    </row>
    <row r="5143" spans="3:9" ht="16.5" hidden="1" customHeight="1" x14ac:dyDescent="0.25">
      <c r="C5143" s="222"/>
      <c r="D5143" s="118" t="s">
        <v>3646</v>
      </c>
      <c r="E5143" s="107">
        <v>250000000</v>
      </c>
      <c r="F5143" s="221">
        <v>250000000</v>
      </c>
      <c r="G5143" s="343">
        <f t="shared" si="319"/>
        <v>100</v>
      </c>
      <c r="H5143" s="343">
        <f t="shared" si="315"/>
        <v>100</v>
      </c>
      <c r="I5143" s="111"/>
    </row>
    <row r="5144" spans="3:9" ht="16.5" hidden="1" customHeight="1" x14ac:dyDescent="0.25">
      <c r="C5144" s="222"/>
      <c r="D5144" s="118"/>
      <c r="E5144" s="107"/>
      <c r="F5144" s="243"/>
      <c r="G5144" s="333"/>
      <c r="H5144" s="343"/>
      <c r="I5144" s="111"/>
    </row>
    <row r="5145" spans="3:9" s="115" customFormat="1" ht="16.5" hidden="1" customHeight="1" x14ac:dyDescent="0.25">
      <c r="C5145" s="222"/>
      <c r="D5145" s="121" t="s">
        <v>3647</v>
      </c>
      <c r="E5145" s="120">
        <f>E5146</f>
        <v>900000000</v>
      </c>
      <c r="F5145" s="242">
        <f>F5146</f>
        <v>900000000</v>
      </c>
      <c r="G5145" s="342">
        <f>F5145/E5145*100</f>
        <v>100</v>
      </c>
      <c r="H5145" s="342">
        <f t="shared" si="315"/>
        <v>100</v>
      </c>
      <c r="I5145" s="121"/>
    </row>
    <row r="5146" spans="3:9" s="115" customFormat="1" ht="16.5" hidden="1" customHeight="1" x14ac:dyDescent="0.25">
      <c r="C5146" s="222"/>
      <c r="D5146" s="249" t="s">
        <v>3648</v>
      </c>
      <c r="E5146" s="120">
        <f>SUM(E5147:E5148)</f>
        <v>900000000</v>
      </c>
      <c r="F5146" s="113">
        <f>SUM(F5147:F5148)</f>
        <v>900000000</v>
      </c>
      <c r="G5146" s="342">
        <f>F5146/E5146*100</f>
        <v>100</v>
      </c>
      <c r="H5146" s="342">
        <f t="shared" si="315"/>
        <v>100</v>
      </c>
      <c r="I5146" s="121"/>
    </row>
    <row r="5147" spans="3:9" ht="16.5" hidden="1" customHeight="1" x14ac:dyDescent="0.25">
      <c r="C5147" s="222"/>
      <c r="D5147" s="118" t="s">
        <v>3649</v>
      </c>
      <c r="E5147" s="107">
        <v>500000000</v>
      </c>
      <c r="F5147" s="108">
        <v>500000000</v>
      </c>
      <c r="G5147" s="343">
        <f>F5147/E5147*100</f>
        <v>100</v>
      </c>
      <c r="H5147" s="343">
        <f t="shared" si="315"/>
        <v>100</v>
      </c>
      <c r="I5147" s="111"/>
    </row>
    <row r="5148" spans="3:9" ht="16.5" hidden="1" customHeight="1" x14ac:dyDescent="0.25">
      <c r="C5148" s="222"/>
      <c r="D5148" s="118" t="s">
        <v>3650</v>
      </c>
      <c r="E5148" s="107">
        <v>400000000</v>
      </c>
      <c r="F5148" s="108">
        <v>400000000</v>
      </c>
      <c r="G5148" s="343">
        <f>F5148/E5148*100</f>
        <v>100</v>
      </c>
      <c r="H5148" s="343">
        <f t="shared" si="315"/>
        <v>100</v>
      </c>
      <c r="I5148" s="111"/>
    </row>
    <row r="5149" spans="3:9" ht="16.5" hidden="1" customHeight="1" x14ac:dyDescent="0.25">
      <c r="C5149" s="222"/>
      <c r="D5149" s="118"/>
      <c r="E5149" s="107"/>
      <c r="F5149" s="243"/>
      <c r="G5149" s="247"/>
      <c r="H5149" s="343"/>
      <c r="I5149" s="111"/>
    </row>
    <row r="5150" spans="3:9" s="115" customFormat="1" ht="16.5" hidden="1" customHeight="1" x14ac:dyDescent="0.25">
      <c r="C5150" s="222"/>
      <c r="D5150" s="121" t="s">
        <v>3651</v>
      </c>
      <c r="E5150" s="120">
        <f>+E5151+E5160+E5165</f>
        <v>14759200000</v>
      </c>
      <c r="F5150" s="242">
        <f>F5151+F5160+F5165</f>
        <v>14586770000</v>
      </c>
      <c r="G5150" s="342">
        <f t="shared" ref="G5150:G5167" si="320">F5150/E5150*100</f>
        <v>98.831711745894097</v>
      </c>
      <c r="H5150" s="342">
        <f t="shared" si="315"/>
        <v>98.831711745894097</v>
      </c>
      <c r="I5150" s="121"/>
    </row>
    <row r="5151" spans="3:9" s="115" customFormat="1" ht="16.5" hidden="1" customHeight="1" x14ac:dyDescent="0.25">
      <c r="C5151" s="222"/>
      <c r="D5151" s="249" t="s">
        <v>486</v>
      </c>
      <c r="E5151" s="120">
        <f>SUM(E5152:E5159)</f>
        <v>2550000000</v>
      </c>
      <c r="F5151" s="113">
        <f>SUM(F5152:F5159)</f>
        <v>2529750000</v>
      </c>
      <c r="G5151" s="342">
        <f t="shared" si="320"/>
        <v>99.205882352941174</v>
      </c>
      <c r="H5151" s="342">
        <f t="shared" si="315"/>
        <v>99.205882352941174</v>
      </c>
      <c r="I5151" s="121"/>
    </row>
    <row r="5152" spans="3:9" ht="16.5" hidden="1" customHeight="1" x14ac:dyDescent="0.25">
      <c r="C5152" s="222"/>
      <c r="D5152" s="118" t="s">
        <v>945</v>
      </c>
      <c r="E5152" s="107">
        <v>250000000</v>
      </c>
      <c r="F5152" s="108">
        <v>250000000</v>
      </c>
      <c r="G5152" s="343">
        <f t="shared" si="320"/>
        <v>100</v>
      </c>
      <c r="H5152" s="343">
        <f t="shared" si="315"/>
        <v>100</v>
      </c>
      <c r="I5152" s="111"/>
    </row>
    <row r="5153" spans="3:9" ht="16.5" hidden="1" customHeight="1" x14ac:dyDescent="0.25">
      <c r="C5153" s="222"/>
      <c r="D5153" s="118" t="s">
        <v>3652</v>
      </c>
      <c r="E5153" s="107">
        <v>100000000</v>
      </c>
      <c r="F5153" s="108">
        <v>100000000</v>
      </c>
      <c r="G5153" s="343">
        <f t="shared" si="320"/>
        <v>100</v>
      </c>
      <c r="H5153" s="343">
        <f t="shared" si="315"/>
        <v>100</v>
      </c>
      <c r="I5153" s="111"/>
    </row>
    <row r="5154" spans="3:9" ht="16.5" hidden="1" customHeight="1" x14ac:dyDescent="0.25">
      <c r="C5154" s="222"/>
      <c r="D5154" s="118" t="s">
        <v>3653</v>
      </c>
      <c r="E5154" s="107">
        <v>100000000</v>
      </c>
      <c r="F5154" s="108">
        <v>100000000</v>
      </c>
      <c r="G5154" s="343">
        <f t="shared" si="320"/>
        <v>100</v>
      </c>
      <c r="H5154" s="343">
        <f t="shared" si="315"/>
        <v>100</v>
      </c>
      <c r="I5154" s="111"/>
    </row>
    <row r="5155" spans="3:9" ht="16.5" hidden="1" customHeight="1" x14ac:dyDescent="0.25">
      <c r="C5155" s="222"/>
      <c r="D5155" s="118" t="s">
        <v>3654</v>
      </c>
      <c r="E5155" s="107">
        <v>100000000</v>
      </c>
      <c r="F5155" s="108">
        <v>100000000</v>
      </c>
      <c r="G5155" s="343">
        <f t="shared" si="320"/>
        <v>100</v>
      </c>
      <c r="H5155" s="343">
        <f t="shared" si="315"/>
        <v>100</v>
      </c>
      <c r="I5155" s="111"/>
    </row>
    <row r="5156" spans="3:9" ht="16.5" hidden="1" customHeight="1" x14ac:dyDescent="0.25">
      <c r="C5156" s="222"/>
      <c r="D5156" s="118" t="s">
        <v>3655</v>
      </c>
      <c r="E5156" s="107">
        <v>100000000</v>
      </c>
      <c r="F5156" s="108">
        <v>100000000</v>
      </c>
      <c r="G5156" s="343">
        <f t="shared" si="320"/>
        <v>100</v>
      </c>
      <c r="H5156" s="343">
        <f t="shared" si="315"/>
        <v>100</v>
      </c>
      <c r="I5156" s="111"/>
    </row>
    <row r="5157" spans="3:9" ht="16.5" hidden="1" customHeight="1" x14ac:dyDescent="0.25">
      <c r="C5157" s="222"/>
      <c r="D5157" s="118" t="s">
        <v>3656</v>
      </c>
      <c r="E5157" s="107">
        <v>150000000</v>
      </c>
      <c r="F5157" s="108">
        <v>150000000</v>
      </c>
      <c r="G5157" s="343">
        <f t="shared" si="320"/>
        <v>100</v>
      </c>
      <c r="H5157" s="343">
        <f t="shared" si="315"/>
        <v>100</v>
      </c>
      <c r="I5157" s="111"/>
    </row>
    <row r="5158" spans="3:9" ht="16.5" hidden="1" customHeight="1" x14ac:dyDescent="0.25">
      <c r="C5158" s="222"/>
      <c r="D5158" s="118" t="s">
        <v>3657</v>
      </c>
      <c r="E5158" s="107">
        <v>150000000</v>
      </c>
      <c r="F5158" s="108">
        <v>150000000</v>
      </c>
      <c r="G5158" s="343">
        <f t="shared" si="320"/>
        <v>100</v>
      </c>
      <c r="H5158" s="343">
        <f t="shared" si="315"/>
        <v>100</v>
      </c>
      <c r="I5158" s="111"/>
    </row>
    <row r="5159" spans="3:9" ht="16.5" hidden="1" customHeight="1" x14ac:dyDescent="0.25">
      <c r="C5159" s="222"/>
      <c r="D5159" s="118" t="s">
        <v>3658</v>
      </c>
      <c r="E5159" s="107">
        <v>1600000000</v>
      </c>
      <c r="F5159" s="243">
        <v>1579750000</v>
      </c>
      <c r="G5159" s="343">
        <f t="shared" si="320"/>
        <v>98.734375</v>
      </c>
      <c r="H5159" s="343">
        <f t="shared" ref="H5159:H5179" si="321">+G5159</f>
        <v>98.734375</v>
      </c>
      <c r="I5159" s="111"/>
    </row>
    <row r="5160" spans="3:9" s="115" customFormat="1" ht="16.5" hidden="1" customHeight="1" x14ac:dyDescent="0.25">
      <c r="C5160" s="222"/>
      <c r="D5160" s="121" t="s">
        <v>1433</v>
      </c>
      <c r="E5160" s="120">
        <f>SUM(E5161:E5164)</f>
        <v>7709200000</v>
      </c>
      <c r="F5160" s="113">
        <f>SUM(F5161:F5164)</f>
        <v>7578820000</v>
      </c>
      <c r="G5160" s="342">
        <f t="shared" si="320"/>
        <v>98.308773932444353</v>
      </c>
      <c r="H5160" s="342">
        <f t="shared" si="321"/>
        <v>98.308773932444353</v>
      </c>
      <c r="I5160" s="121"/>
    </row>
    <row r="5161" spans="3:9" ht="18.75" hidden="1" customHeight="1" x14ac:dyDescent="0.25">
      <c r="C5161" s="222"/>
      <c r="D5161" s="118" t="s">
        <v>3659</v>
      </c>
      <c r="E5161" s="107">
        <v>1950000000</v>
      </c>
      <c r="F5161" s="243">
        <v>1934300000</v>
      </c>
      <c r="G5161" s="343">
        <f t="shared" si="320"/>
        <v>99.194871794871801</v>
      </c>
      <c r="H5161" s="343">
        <f t="shared" si="321"/>
        <v>99.194871794871801</v>
      </c>
      <c r="I5161" s="111"/>
    </row>
    <row r="5162" spans="3:9" ht="39" hidden="1" customHeight="1" x14ac:dyDescent="0.25">
      <c r="C5162" s="222"/>
      <c r="D5162" s="118" t="s">
        <v>3660</v>
      </c>
      <c r="E5162" s="107">
        <v>3025000000</v>
      </c>
      <c r="F5162" s="243">
        <v>2937550000</v>
      </c>
      <c r="G5162" s="343">
        <f t="shared" si="320"/>
        <v>97.109090909090909</v>
      </c>
      <c r="H5162" s="343">
        <f t="shared" si="321"/>
        <v>97.109090909090909</v>
      </c>
      <c r="I5162" s="111"/>
    </row>
    <row r="5163" spans="3:9" ht="16.5" hidden="1" customHeight="1" x14ac:dyDescent="0.25">
      <c r="C5163" s="222"/>
      <c r="D5163" s="118" t="s">
        <v>3661</v>
      </c>
      <c r="E5163" s="107">
        <v>1834200000</v>
      </c>
      <c r="F5163" s="243">
        <v>1817470000</v>
      </c>
      <c r="G5163" s="343">
        <f t="shared" si="320"/>
        <v>99.087885726747359</v>
      </c>
      <c r="H5163" s="343">
        <f t="shared" si="321"/>
        <v>99.087885726747359</v>
      </c>
      <c r="I5163" s="111"/>
    </row>
    <row r="5164" spans="3:9" ht="16.5" hidden="1" customHeight="1" x14ac:dyDescent="0.25">
      <c r="C5164" s="222"/>
      <c r="D5164" s="118" t="s">
        <v>3662</v>
      </c>
      <c r="E5164" s="107">
        <v>900000000</v>
      </c>
      <c r="F5164" s="243">
        <v>889500000</v>
      </c>
      <c r="G5164" s="343">
        <f t="shared" si="320"/>
        <v>98.833333333333329</v>
      </c>
      <c r="H5164" s="343">
        <f t="shared" si="321"/>
        <v>98.833333333333329</v>
      </c>
      <c r="I5164" s="111"/>
    </row>
    <row r="5165" spans="3:9" s="115" customFormat="1" ht="16.5" hidden="1" customHeight="1" x14ac:dyDescent="0.25">
      <c r="C5165" s="222"/>
      <c r="D5165" s="249" t="s">
        <v>496</v>
      </c>
      <c r="E5165" s="120">
        <f>SUM(E5166:E5167)</f>
        <v>4500000000</v>
      </c>
      <c r="F5165" s="113">
        <f>SUM(F5166:F5167)</f>
        <v>4478200000</v>
      </c>
      <c r="G5165" s="342">
        <f t="shared" si="320"/>
        <v>99.515555555555551</v>
      </c>
      <c r="H5165" s="342">
        <f t="shared" si="321"/>
        <v>99.515555555555551</v>
      </c>
      <c r="I5165" s="121"/>
    </row>
    <row r="5166" spans="3:9" ht="16.5" hidden="1" customHeight="1" x14ac:dyDescent="0.25">
      <c r="C5166" s="222"/>
      <c r="D5166" s="118" t="s">
        <v>3663</v>
      </c>
      <c r="E5166" s="107">
        <v>1800000000</v>
      </c>
      <c r="F5166" s="243">
        <v>1794100000</v>
      </c>
      <c r="G5166" s="343">
        <f t="shared" si="320"/>
        <v>99.672222222222217</v>
      </c>
      <c r="H5166" s="343">
        <f t="shared" si="321"/>
        <v>99.672222222222217</v>
      </c>
      <c r="I5166" s="111"/>
    </row>
    <row r="5167" spans="3:9" ht="16.5" hidden="1" customHeight="1" x14ac:dyDescent="0.25">
      <c r="C5167" s="222"/>
      <c r="D5167" s="118" t="s">
        <v>497</v>
      </c>
      <c r="E5167" s="107">
        <v>2700000000</v>
      </c>
      <c r="F5167" s="243">
        <v>2684100000</v>
      </c>
      <c r="G5167" s="343">
        <f t="shared" si="320"/>
        <v>99.411111111111111</v>
      </c>
      <c r="H5167" s="343">
        <f t="shared" si="321"/>
        <v>99.411111111111111</v>
      </c>
      <c r="I5167" s="111"/>
    </row>
    <row r="5168" spans="3:9" ht="16.5" hidden="1" customHeight="1" x14ac:dyDescent="0.25">
      <c r="C5168" s="222"/>
      <c r="D5168" s="118"/>
      <c r="E5168" s="107"/>
      <c r="F5168" s="243"/>
      <c r="G5168" s="247"/>
      <c r="H5168" s="343"/>
      <c r="I5168" s="111"/>
    </row>
    <row r="5169" spans="3:9" s="115" customFormat="1" ht="16.5" hidden="1" customHeight="1" x14ac:dyDescent="0.25">
      <c r="C5169" s="222"/>
      <c r="D5169" s="249" t="s">
        <v>3664</v>
      </c>
      <c r="E5169" s="120">
        <f>+E5170+E5172+E5174</f>
        <v>3500000000</v>
      </c>
      <c r="F5169" s="242">
        <f>F5170+F5172+F5174</f>
        <v>3479266123</v>
      </c>
      <c r="G5169" s="342">
        <f t="shared" ref="G5169:G5175" si="322">F5169/E5169*100</f>
        <v>99.407603514285711</v>
      </c>
      <c r="H5169" s="342">
        <f t="shared" si="321"/>
        <v>99.407603514285711</v>
      </c>
      <c r="I5169" s="121"/>
    </row>
    <row r="5170" spans="3:9" s="115" customFormat="1" ht="16.5" hidden="1" customHeight="1" x14ac:dyDescent="0.25">
      <c r="C5170" s="222"/>
      <c r="D5170" s="249" t="s">
        <v>3665</v>
      </c>
      <c r="E5170" s="120">
        <f>E5172</f>
        <v>1000000000</v>
      </c>
      <c r="F5170" s="220">
        <f>F5171</f>
        <v>1000000000</v>
      </c>
      <c r="G5170" s="342">
        <f t="shared" si="322"/>
        <v>100</v>
      </c>
      <c r="H5170" s="342">
        <f t="shared" si="321"/>
        <v>100</v>
      </c>
      <c r="I5170" s="121"/>
    </row>
    <row r="5171" spans="3:9" ht="16.5" hidden="1" customHeight="1" x14ac:dyDescent="0.25">
      <c r="C5171" s="222"/>
      <c r="D5171" s="118" t="s">
        <v>3666</v>
      </c>
      <c r="E5171" s="107">
        <v>1000000000</v>
      </c>
      <c r="F5171" s="221">
        <v>1000000000</v>
      </c>
      <c r="G5171" s="343">
        <f t="shared" si="322"/>
        <v>100</v>
      </c>
      <c r="H5171" s="343">
        <f t="shared" si="321"/>
        <v>100</v>
      </c>
      <c r="I5171" s="111"/>
    </row>
    <row r="5172" spans="3:9" s="115" customFormat="1" ht="16.5" hidden="1" customHeight="1" x14ac:dyDescent="0.25">
      <c r="C5172" s="222"/>
      <c r="D5172" s="249" t="s">
        <v>3667</v>
      </c>
      <c r="E5172" s="120">
        <f>E5173</f>
        <v>1000000000</v>
      </c>
      <c r="F5172" s="220">
        <f>F5173</f>
        <v>1000000000</v>
      </c>
      <c r="G5172" s="342">
        <f t="shared" si="322"/>
        <v>100</v>
      </c>
      <c r="H5172" s="342">
        <f t="shared" si="321"/>
        <v>100</v>
      </c>
      <c r="I5172" s="121"/>
    </row>
    <row r="5173" spans="3:9" ht="16.5" hidden="1" customHeight="1" x14ac:dyDescent="0.25">
      <c r="C5173" s="222"/>
      <c r="D5173" s="118" t="s">
        <v>3668</v>
      </c>
      <c r="E5173" s="107">
        <v>1000000000</v>
      </c>
      <c r="F5173" s="221">
        <v>1000000000</v>
      </c>
      <c r="G5173" s="343">
        <f t="shared" si="322"/>
        <v>100</v>
      </c>
      <c r="H5173" s="343">
        <f t="shared" si="321"/>
        <v>100</v>
      </c>
      <c r="I5173" s="111"/>
    </row>
    <row r="5174" spans="3:9" ht="16.5" hidden="1" customHeight="1" x14ac:dyDescent="0.25">
      <c r="C5174" s="222"/>
      <c r="D5174" s="249" t="s">
        <v>3669</v>
      </c>
      <c r="E5174" s="120">
        <f>E5175</f>
        <v>1500000000</v>
      </c>
      <c r="F5174" s="220">
        <f>F5175</f>
        <v>1479266123</v>
      </c>
      <c r="G5174" s="343">
        <f t="shared" si="322"/>
        <v>98.61774153333333</v>
      </c>
      <c r="H5174" s="343">
        <f t="shared" si="321"/>
        <v>98.61774153333333</v>
      </c>
      <c r="I5174" s="111"/>
    </row>
    <row r="5175" spans="3:9" ht="16.5" hidden="1" customHeight="1" x14ac:dyDescent="0.25">
      <c r="C5175" s="222"/>
      <c r="D5175" s="118" t="s">
        <v>3670</v>
      </c>
      <c r="E5175" s="107">
        <v>1500000000</v>
      </c>
      <c r="F5175" s="243">
        <v>1479266123</v>
      </c>
      <c r="G5175" s="343">
        <f t="shared" si="322"/>
        <v>98.61774153333333</v>
      </c>
      <c r="H5175" s="343">
        <f t="shared" si="321"/>
        <v>98.61774153333333</v>
      </c>
      <c r="I5175" s="111"/>
    </row>
    <row r="5176" spans="3:9" ht="16.5" hidden="1" customHeight="1" x14ac:dyDescent="0.25">
      <c r="C5176" s="222"/>
      <c r="D5176" s="118"/>
      <c r="E5176" s="107"/>
      <c r="F5176" s="243"/>
      <c r="G5176" s="247"/>
      <c r="H5176" s="343"/>
      <c r="I5176" s="111"/>
    </row>
    <row r="5177" spans="3:9" s="115" customFormat="1" ht="16.5" hidden="1" customHeight="1" x14ac:dyDescent="0.25">
      <c r="C5177" s="222"/>
      <c r="D5177" s="249" t="s">
        <v>3671</v>
      </c>
      <c r="E5177" s="120">
        <f>E5178</f>
        <v>2182793080</v>
      </c>
      <c r="F5177" s="242">
        <f>F5178</f>
        <v>2182793000</v>
      </c>
      <c r="G5177" s="342">
        <f>F5177/E5177*100</f>
        <v>99.999996334970973</v>
      </c>
      <c r="H5177" s="342">
        <f t="shared" si="321"/>
        <v>99.999996334970973</v>
      </c>
      <c r="I5177" s="121"/>
    </row>
    <row r="5178" spans="3:9" s="115" customFormat="1" ht="16.5" hidden="1" customHeight="1" x14ac:dyDescent="0.25">
      <c r="C5178" s="222"/>
      <c r="D5178" s="249" t="s">
        <v>792</v>
      </c>
      <c r="E5178" s="120">
        <f>E5179</f>
        <v>2182793080</v>
      </c>
      <c r="F5178" s="113">
        <f>F5179</f>
        <v>2182793000</v>
      </c>
      <c r="G5178" s="342">
        <f>F5178/E5178*100</f>
        <v>99.999996334970973</v>
      </c>
      <c r="H5178" s="342">
        <f t="shared" si="321"/>
        <v>99.999996334970973</v>
      </c>
      <c r="I5178" s="121"/>
    </row>
    <row r="5179" spans="3:9" ht="16.5" hidden="1" customHeight="1" x14ac:dyDescent="0.25">
      <c r="C5179" s="222"/>
      <c r="D5179" s="118" t="s">
        <v>3672</v>
      </c>
      <c r="E5179" s="107">
        <v>2182793080</v>
      </c>
      <c r="F5179" s="243">
        <v>2182793000</v>
      </c>
      <c r="G5179" s="343">
        <f>F5179/E5179*100</f>
        <v>99.999996334970973</v>
      </c>
      <c r="H5179" s="343">
        <f t="shared" si="321"/>
        <v>99.999996334970973</v>
      </c>
      <c r="I5179" s="111"/>
    </row>
    <row r="5180" spans="3:9" ht="16.5" hidden="1" customHeight="1" x14ac:dyDescent="0.25">
      <c r="C5180" s="222"/>
      <c r="D5180" s="48"/>
      <c r="E5180" s="107"/>
      <c r="F5180" s="108"/>
      <c r="G5180" s="117"/>
      <c r="H5180" s="117"/>
      <c r="I5180" s="111"/>
    </row>
    <row r="5181" spans="3:9" ht="17.25" customHeight="1" x14ac:dyDescent="0.25">
      <c r="C5181" s="222" t="s">
        <v>3673</v>
      </c>
      <c r="D5181" s="48" t="s">
        <v>3674</v>
      </c>
      <c r="E5181" s="168">
        <f>+E5182+E5200+E5222+E5230+E5235+E5239+E5245+E5254+E5258+E5262+E5272+E5276+E5283+E5298+E5308+E5312+E5317+E5321</f>
        <v>110491536000</v>
      </c>
      <c r="F5181" s="113">
        <f>+F5182+F5200+F5222+F5230+F5235+F5239+F5245+F5254+F5258+F5262+F5272+F5276+F5283+F5298+F5308+F5312+F5317+F5321</f>
        <v>104590549262</v>
      </c>
      <c r="G5181" s="114">
        <f>F5181/E5181*100</f>
        <v>94.659331427884226</v>
      </c>
      <c r="H5181" s="114">
        <f>(H5182+H5200+H5222+H5230+H5235+H5239+H5245+H5254+H5258+H5262+H5272+H5276+H5283+H5298+H5308+H5312+H5317+H5321)/18</f>
        <v>94</v>
      </c>
      <c r="I5181" s="111"/>
    </row>
    <row r="5182" spans="3:9" s="115" customFormat="1" ht="16.5" hidden="1" customHeight="1" x14ac:dyDescent="0.25">
      <c r="C5182" s="222"/>
      <c r="D5182" s="545" t="s">
        <v>82</v>
      </c>
      <c r="E5182" s="348">
        <f>+E5183+E5186+E5190+E5192+E5194</f>
        <v>28815760800</v>
      </c>
      <c r="F5182" s="348">
        <f>+F5183+F5186+F5190+F5192+F5194</f>
        <v>26741361460</v>
      </c>
      <c r="G5182" s="381">
        <f t="shared" ref="G5182:G5198" si="323">100*(F5182/E5182)</f>
        <v>92.801164076847826</v>
      </c>
      <c r="H5182" s="562">
        <f>(H5183+H5186+H5190+H5192+H5194)/5</f>
        <v>95</v>
      </c>
      <c r="I5182" s="121"/>
    </row>
    <row r="5183" spans="3:9" s="115" customFormat="1" ht="16.5" hidden="1" customHeight="1" x14ac:dyDescent="0.25">
      <c r="C5183" s="222"/>
      <c r="D5183" s="546" t="s">
        <v>797</v>
      </c>
      <c r="E5183" s="348">
        <f>+E5184+E5185</f>
        <v>854196800</v>
      </c>
      <c r="F5183" s="348">
        <f>+F5184+F5185</f>
        <v>848500000</v>
      </c>
      <c r="G5183" s="381">
        <f t="shared" si="323"/>
        <v>99.333081088573508</v>
      </c>
      <c r="H5183" s="563">
        <f>SUM(H5184:H5185)/2</f>
        <v>100</v>
      </c>
      <c r="I5183" s="121"/>
    </row>
    <row r="5184" spans="3:9" ht="16.5" hidden="1" customHeight="1" x14ac:dyDescent="0.25">
      <c r="C5184" s="222"/>
      <c r="D5184" s="547" t="s">
        <v>3675</v>
      </c>
      <c r="E5184" s="349">
        <v>316896800</v>
      </c>
      <c r="F5184" s="349">
        <v>312700000</v>
      </c>
      <c r="G5184" s="382">
        <f t="shared" si="323"/>
        <v>98.675657185556943</v>
      </c>
      <c r="H5184" s="564">
        <v>100</v>
      </c>
      <c r="I5184" s="111"/>
    </row>
    <row r="5185" spans="3:9" ht="16.5" hidden="1" customHeight="1" x14ac:dyDescent="0.25">
      <c r="C5185" s="222"/>
      <c r="D5185" s="547" t="s">
        <v>3676</v>
      </c>
      <c r="E5185" s="349">
        <v>537300000</v>
      </c>
      <c r="F5185" s="349">
        <v>535800000</v>
      </c>
      <c r="G5185" s="382">
        <f t="shared" si="323"/>
        <v>99.72082635399218</v>
      </c>
      <c r="H5185" s="564">
        <v>100</v>
      </c>
      <c r="I5185" s="111"/>
    </row>
    <row r="5186" spans="3:9" s="115" customFormat="1" ht="16.5" hidden="1" customHeight="1" x14ac:dyDescent="0.25">
      <c r="C5186" s="222"/>
      <c r="D5186" s="548" t="s">
        <v>680</v>
      </c>
      <c r="E5186" s="348">
        <f>+E5187+E5188+E5189</f>
        <v>15119000000</v>
      </c>
      <c r="F5186" s="348">
        <f>+F5187+F5188+F5189</f>
        <v>14870652460</v>
      </c>
      <c r="G5186" s="382">
        <f t="shared" si="323"/>
        <v>98.357381176003699</v>
      </c>
      <c r="H5186" s="563">
        <f>SUM(H5187:H5189)/3</f>
        <v>100</v>
      </c>
      <c r="I5186" s="121"/>
    </row>
    <row r="5187" spans="3:9" ht="16.5" hidden="1" customHeight="1" x14ac:dyDescent="0.25">
      <c r="C5187" s="222"/>
      <c r="D5187" s="549" t="s">
        <v>3677</v>
      </c>
      <c r="E5187" s="349">
        <v>5000000000</v>
      </c>
      <c r="F5187" s="349">
        <v>4914734000</v>
      </c>
      <c r="G5187" s="382">
        <f t="shared" si="323"/>
        <v>98.29468</v>
      </c>
      <c r="H5187" s="564">
        <v>100</v>
      </c>
      <c r="I5187" s="111"/>
    </row>
    <row r="5188" spans="3:9" ht="16.5" hidden="1" customHeight="1" x14ac:dyDescent="0.25">
      <c r="C5188" s="222"/>
      <c r="D5188" s="549" t="s">
        <v>3678</v>
      </c>
      <c r="E5188" s="349">
        <v>480000000</v>
      </c>
      <c r="F5188" s="349">
        <v>479000000</v>
      </c>
      <c r="G5188" s="382">
        <f t="shared" si="323"/>
        <v>99.791666666666671</v>
      </c>
      <c r="H5188" s="564">
        <v>100</v>
      </c>
      <c r="I5188" s="111"/>
    </row>
    <row r="5189" spans="3:9" ht="16.5" hidden="1" customHeight="1" x14ac:dyDescent="0.25">
      <c r="C5189" s="222"/>
      <c r="D5189" s="549" t="s">
        <v>3679</v>
      </c>
      <c r="E5189" s="349">
        <v>9639000000</v>
      </c>
      <c r="F5189" s="349">
        <v>9476918460</v>
      </c>
      <c r="G5189" s="382">
        <f t="shared" si="323"/>
        <v>98.31848179271708</v>
      </c>
      <c r="H5189" s="564">
        <v>100</v>
      </c>
      <c r="I5189" s="111"/>
    </row>
    <row r="5190" spans="3:9" s="115" customFormat="1" ht="16.5" hidden="1" customHeight="1" x14ac:dyDescent="0.25">
      <c r="C5190" s="222"/>
      <c r="D5190" s="550" t="s">
        <v>693</v>
      </c>
      <c r="E5190" s="348">
        <f>+E5191</f>
        <v>820000000</v>
      </c>
      <c r="F5190" s="348">
        <f>+F5191</f>
        <v>811360000</v>
      </c>
      <c r="G5190" s="382">
        <f t="shared" si="323"/>
        <v>98.946341463414626</v>
      </c>
      <c r="H5190" s="563">
        <f>+H5191</f>
        <v>100</v>
      </c>
      <c r="I5190" s="121"/>
    </row>
    <row r="5191" spans="3:9" ht="16.5" hidden="1" customHeight="1" x14ac:dyDescent="0.25">
      <c r="C5191" s="222"/>
      <c r="D5191" s="549" t="s">
        <v>3680</v>
      </c>
      <c r="E5191" s="349">
        <v>820000000</v>
      </c>
      <c r="F5191" s="349">
        <v>811360000</v>
      </c>
      <c r="G5191" s="382">
        <f t="shared" si="323"/>
        <v>98.946341463414626</v>
      </c>
      <c r="H5191" s="564">
        <v>100</v>
      </c>
      <c r="I5191" s="111"/>
    </row>
    <row r="5192" spans="3:9" s="115" customFormat="1" ht="16.5" hidden="1" customHeight="1" x14ac:dyDescent="0.25">
      <c r="C5192" s="222"/>
      <c r="D5192" s="550" t="s">
        <v>92</v>
      </c>
      <c r="E5192" s="348">
        <f>+E5193</f>
        <v>1740000000</v>
      </c>
      <c r="F5192" s="348">
        <f>+F5193</f>
        <v>1698138000</v>
      </c>
      <c r="G5192" s="382">
        <f t="shared" si="323"/>
        <v>97.594137931034481</v>
      </c>
      <c r="H5192" s="563">
        <f>+H5193</f>
        <v>100</v>
      </c>
      <c r="I5192" s="121"/>
    </row>
    <row r="5193" spans="3:9" ht="16.5" hidden="1" customHeight="1" x14ac:dyDescent="0.25">
      <c r="C5193" s="222"/>
      <c r="D5193" s="549" t="s">
        <v>821</v>
      </c>
      <c r="E5193" s="349">
        <v>1740000000</v>
      </c>
      <c r="F5193" s="349">
        <v>1698138000</v>
      </c>
      <c r="G5193" s="382">
        <f t="shared" si="323"/>
        <v>97.594137931034481</v>
      </c>
      <c r="H5193" s="564">
        <v>100</v>
      </c>
      <c r="I5193" s="111"/>
    </row>
    <row r="5194" spans="3:9" s="115" customFormat="1" ht="16.5" hidden="1" customHeight="1" x14ac:dyDescent="0.25">
      <c r="C5194" s="222"/>
      <c r="D5194" s="550" t="s">
        <v>109</v>
      </c>
      <c r="E5194" s="348">
        <f>+E5195+E5196+E5197+E5198</f>
        <v>10282564000</v>
      </c>
      <c r="F5194" s="348">
        <f>+F5195+F5196+F5197+F5198</f>
        <v>8512711000</v>
      </c>
      <c r="G5194" s="382">
        <f t="shared" si="323"/>
        <v>82.787824126356043</v>
      </c>
      <c r="H5194" s="563">
        <f>SUM(H5195:H5198)/4</f>
        <v>75</v>
      </c>
      <c r="I5194" s="121"/>
    </row>
    <row r="5195" spans="3:9" ht="16.5" hidden="1" customHeight="1" x14ac:dyDescent="0.25">
      <c r="C5195" s="222"/>
      <c r="D5195" s="549" t="s">
        <v>3681</v>
      </c>
      <c r="E5195" s="349">
        <v>610020000</v>
      </c>
      <c r="F5195" s="349">
        <v>0</v>
      </c>
      <c r="G5195" s="382">
        <f t="shared" si="323"/>
        <v>0</v>
      </c>
      <c r="H5195" s="565" t="s">
        <v>3682</v>
      </c>
      <c r="I5195" s="111"/>
    </row>
    <row r="5196" spans="3:9" ht="16.5" hidden="1" customHeight="1" x14ac:dyDescent="0.25">
      <c r="C5196" s="222"/>
      <c r="D5196" s="549" t="s">
        <v>3683</v>
      </c>
      <c r="E5196" s="349">
        <v>8142544000</v>
      </c>
      <c r="F5196" s="349">
        <v>7001250000</v>
      </c>
      <c r="G5196" s="382">
        <f t="shared" si="323"/>
        <v>85.983569754121064</v>
      </c>
      <c r="H5196" s="565">
        <v>100</v>
      </c>
      <c r="I5196" s="111"/>
    </row>
    <row r="5197" spans="3:9" ht="16.5" hidden="1" customHeight="1" x14ac:dyDescent="0.25">
      <c r="C5197" s="222"/>
      <c r="D5197" s="549" t="s">
        <v>3684</v>
      </c>
      <c r="E5197" s="349">
        <v>400000000</v>
      </c>
      <c r="F5197" s="349">
        <v>392164000</v>
      </c>
      <c r="G5197" s="382">
        <f t="shared" si="323"/>
        <v>98.040999999999997</v>
      </c>
      <c r="H5197" s="565">
        <v>100</v>
      </c>
      <c r="I5197" s="111"/>
    </row>
    <row r="5198" spans="3:9" ht="16.5" hidden="1" customHeight="1" x14ac:dyDescent="0.25">
      <c r="C5198" s="222"/>
      <c r="D5198" s="549" t="s">
        <v>3685</v>
      </c>
      <c r="E5198" s="349">
        <v>1130000000</v>
      </c>
      <c r="F5198" s="349">
        <v>1119297000</v>
      </c>
      <c r="G5198" s="382">
        <f t="shared" si="323"/>
        <v>99.052831858407075</v>
      </c>
      <c r="H5198" s="564">
        <v>100</v>
      </c>
      <c r="I5198" s="111"/>
    </row>
    <row r="5199" spans="3:9" ht="16.5" hidden="1" customHeight="1" x14ac:dyDescent="0.25">
      <c r="C5199" s="222"/>
      <c r="D5199" s="549"/>
      <c r="E5199" s="349"/>
      <c r="F5199" s="349"/>
      <c r="G5199" s="382"/>
      <c r="H5199" s="565"/>
      <c r="I5199" s="111"/>
    </row>
    <row r="5200" spans="3:9" s="115" customFormat="1" ht="16.5" hidden="1" customHeight="1" x14ac:dyDescent="0.25">
      <c r="C5200" s="222"/>
      <c r="D5200" s="545" t="s">
        <v>150</v>
      </c>
      <c r="E5200" s="348">
        <f>+E5201+E5203+E5206+E5210+E5214+E5219</f>
        <v>16573730400</v>
      </c>
      <c r="F5200" s="348">
        <f>+F5201+F5203+F5206+F5210+F5214+F5219</f>
        <v>16133351000</v>
      </c>
      <c r="G5200" s="381">
        <f>100*(F5200/E5200)</f>
        <v>97.342907182802975</v>
      </c>
      <c r="H5200" s="563">
        <v>100</v>
      </c>
      <c r="I5200" s="121"/>
    </row>
    <row r="5201" spans="3:9" s="115" customFormat="1" ht="16.5" hidden="1" customHeight="1" x14ac:dyDescent="0.25">
      <c r="C5201" s="222"/>
      <c r="D5201" s="545" t="s">
        <v>166</v>
      </c>
      <c r="E5201" s="348">
        <f>+E5202</f>
        <v>800000000</v>
      </c>
      <c r="F5201" s="348">
        <f>+F5202</f>
        <v>800000000</v>
      </c>
      <c r="G5201" s="381">
        <f>+G5202</f>
        <v>100</v>
      </c>
      <c r="H5201" s="563">
        <f>+H5202</f>
        <v>100</v>
      </c>
      <c r="I5201" s="121"/>
    </row>
    <row r="5202" spans="3:9" ht="16.5" hidden="1" customHeight="1" x14ac:dyDescent="0.25">
      <c r="C5202" s="222"/>
      <c r="D5202" s="547" t="s">
        <v>1023</v>
      </c>
      <c r="E5202" s="551">
        <v>800000000</v>
      </c>
      <c r="F5202" s="349">
        <v>800000000</v>
      </c>
      <c r="G5202" s="382">
        <f t="shared" ref="G5202:G5220" si="324">100*(F5202/E5202)</f>
        <v>100</v>
      </c>
      <c r="H5202" s="565">
        <v>100</v>
      </c>
      <c r="I5202" s="111"/>
    </row>
    <row r="5203" spans="3:9" s="115" customFormat="1" ht="16.5" hidden="1" customHeight="1" x14ac:dyDescent="0.25">
      <c r="C5203" s="222"/>
      <c r="D5203" s="478" t="s">
        <v>177</v>
      </c>
      <c r="E5203" s="348">
        <f>+E5204+E5205</f>
        <v>800000000</v>
      </c>
      <c r="F5203" s="348">
        <f>+F5204+F5205</f>
        <v>785000000</v>
      </c>
      <c r="G5203" s="381">
        <f t="shared" si="324"/>
        <v>98.125</v>
      </c>
      <c r="H5203" s="563">
        <f>+H5204</f>
        <v>100</v>
      </c>
      <c r="I5203" s="121"/>
    </row>
    <row r="5204" spans="3:9" ht="16.5" hidden="1" customHeight="1" x14ac:dyDescent="0.25">
      <c r="C5204" s="222"/>
      <c r="D5204" s="547" t="s">
        <v>1033</v>
      </c>
      <c r="E5204" s="349">
        <v>500000000</v>
      </c>
      <c r="F5204" s="349">
        <v>492000000</v>
      </c>
      <c r="G5204" s="382">
        <f t="shared" si="324"/>
        <v>98.4</v>
      </c>
      <c r="H5204" s="565">
        <v>100</v>
      </c>
      <c r="I5204" s="111"/>
    </row>
    <row r="5205" spans="3:9" ht="16.5" hidden="1" customHeight="1" x14ac:dyDescent="0.25">
      <c r="C5205" s="222"/>
      <c r="D5205" s="547" t="s">
        <v>3686</v>
      </c>
      <c r="E5205" s="349">
        <v>300000000</v>
      </c>
      <c r="F5205" s="349">
        <v>293000000</v>
      </c>
      <c r="G5205" s="382">
        <f t="shared" si="324"/>
        <v>97.666666666666671</v>
      </c>
      <c r="H5205" s="565">
        <v>100</v>
      </c>
      <c r="I5205" s="111"/>
    </row>
    <row r="5206" spans="3:9" s="115" customFormat="1" ht="18.75" hidden="1" customHeight="1" x14ac:dyDescent="0.25">
      <c r="C5206" s="222"/>
      <c r="D5206" s="478" t="s">
        <v>182</v>
      </c>
      <c r="E5206" s="348">
        <f>+E5207+E5208+E5209</f>
        <v>1107500000</v>
      </c>
      <c r="F5206" s="348">
        <f>+F5207+F5208+F5209</f>
        <v>1107500000</v>
      </c>
      <c r="G5206" s="381">
        <f t="shared" si="324"/>
        <v>100</v>
      </c>
      <c r="H5206" s="563">
        <f>+H5207</f>
        <v>100</v>
      </c>
      <c r="I5206" s="121"/>
    </row>
    <row r="5207" spans="3:9" s="115" customFormat="1" ht="16.5" hidden="1" customHeight="1" x14ac:dyDescent="0.25">
      <c r="C5207" s="222"/>
      <c r="D5207" s="547" t="s">
        <v>839</v>
      </c>
      <c r="E5207" s="551">
        <v>357500000</v>
      </c>
      <c r="F5207" s="349">
        <v>357500000</v>
      </c>
      <c r="G5207" s="382">
        <f t="shared" si="324"/>
        <v>100</v>
      </c>
      <c r="H5207" s="565">
        <v>100</v>
      </c>
      <c r="I5207" s="121"/>
    </row>
    <row r="5208" spans="3:9" ht="16.5" hidden="1" customHeight="1" x14ac:dyDescent="0.25">
      <c r="C5208" s="222"/>
      <c r="D5208" s="547" t="s">
        <v>3687</v>
      </c>
      <c r="E5208" s="551">
        <v>500000000</v>
      </c>
      <c r="F5208" s="349">
        <v>500000000</v>
      </c>
      <c r="G5208" s="382">
        <f t="shared" si="324"/>
        <v>100</v>
      </c>
      <c r="H5208" s="565">
        <v>100</v>
      </c>
      <c r="I5208" s="111"/>
    </row>
    <row r="5209" spans="3:9" ht="16.5" hidden="1" customHeight="1" x14ac:dyDescent="0.25">
      <c r="C5209" s="222"/>
      <c r="D5209" s="547" t="s">
        <v>3688</v>
      </c>
      <c r="E5209" s="551">
        <v>250000000</v>
      </c>
      <c r="F5209" s="349">
        <v>250000000</v>
      </c>
      <c r="G5209" s="382">
        <f t="shared" si="324"/>
        <v>100</v>
      </c>
      <c r="H5209" s="565">
        <v>100</v>
      </c>
      <c r="I5209" s="111"/>
    </row>
    <row r="5210" spans="3:9" s="115" customFormat="1" ht="27" hidden="1" customHeight="1" x14ac:dyDescent="0.25">
      <c r="C5210" s="222"/>
      <c r="D5210" s="478" t="s">
        <v>1402</v>
      </c>
      <c r="E5210" s="348">
        <f>+E5211+E5212+E5213</f>
        <v>4466230400</v>
      </c>
      <c r="F5210" s="348">
        <f>+F5211+F5212+F5213</f>
        <v>4324418000</v>
      </c>
      <c r="G5210" s="381">
        <f t="shared" si="324"/>
        <v>96.824785393964447</v>
      </c>
      <c r="H5210" s="563">
        <f>+H5211</f>
        <v>100</v>
      </c>
      <c r="I5210" s="121"/>
    </row>
    <row r="5211" spans="3:9" s="115" customFormat="1" ht="16.5" hidden="1" customHeight="1" x14ac:dyDescent="0.25">
      <c r="C5211" s="222"/>
      <c r="D5211" s="547" t="s">
        <v>3689</v>
      </c>
      <c r="E5211" s="551">
        <v>1500000000</v>
      </c>
      <c r="F5211" s="349">
        <v>1413395000</v>
      </c>
      <c r="G5211" s="382">
        <f t="shared" si="324"/>
        <v>94.226333333333329</v>
      </c>
      <c r="H5211" s="565">
        <v>100</v>
      </c>
      <c r="I5211" s="121"/>
    </row>
    <row r="5212" spans="3:9" ht="16.5" hidden="1" customHeight="1" x14ac:dyDescent="0.25">
      <c r="C5212" s="222"/>
      <c r="D5212" s="547" t="s">
        <v>3690</v>
      </c>
      <c r="E5212" s="551">
        <v>1250000000</v>
      </c>
      <c r="F5212" s="349">
        <v>1200588000</v>
      </c>
      <c r="G5212" s="382">
        <f t="shared" si="324"/>
        <v>96.047039999999996</v>
      </c>
      <c r="H5212" s="565">
        <v>100</v>
      </c>
      <c r="I5212" s="111"/>
    </row>
    <row r="5213" spans="3:9" ht="16.5" hidden="1" customHeight="1" x14ac:dyDescent="0.25">
      <c r="C5213" s="222"/>
      <c r="D5213" s="547" t="s">
        <v>3691</v>
      </c>
      <c r="E5213" s="551">
        <v>1716230400</v>
      </c>
      <c r="F5213" s="349">
        <v>1710435000</v>
      </c>
      <c r="G5213" s="382">
        <f t="shared" si="324"/>
        <v>99.662318066385495</v>
      </c>
      <c r="H5213" s="565">
        <v>100</v>
      </c>
      <c r="I5213" s="111"/>
    </row>
    <row r="5214" spans="3:9" s="115" customFormat="1" ht="16.5" hidden="1" customHeight="1" x14ac:dyDescent="0.25">
      <c r="C5214" s="222"/>
      <c r="D5214" s="478" t="s">
        <v>3692</v>
      </c>
      <c r="E5214" s="348">
        <f>+E5215+E5216+E5217+E5218</f>
        <v>9150000000</v>
      </c>
      <c r="F5214" s="348">
        <f>+F5215+F5216+F5217+F5218</f>
        <v>8866433000</v>
      </c>
      <c r="G5214" s="381">
        <f t="shared" si="324"/>
        <v>96.900907103825134</v>
      </c>
      <c r="H5214" s="563">
        <f>SUM(H5215:H5218)/4</f>
        <v>100</v>
      </c>
      <c r="I5214" s="121"/>
    </row>
    <row r="5215" spans="3:9" ht="16.5" hidden="1" customHeight="1" x14ac:dyDescent="0.25">
      <c r="C5215" s="222"/>
      <c r="D5215" s="547" t="s">
        <v>3693</v>
      </c>
      <c r="E5215" s="551">
        <v>3000000000</v>
      </c>
      <c r="F5215" s="349">
        <v>2986730000</v>
      </c>
      <c r="G5215" s="382">
        <f t="shared" si="324"/>
        <v>99.557666666666663</v>
      </c>
      <c r="H5215" s="565">
        <v>100</v>
      </c>
      <c r="I5215" s="111"/>
    </row>
    <row r="5216" spans="3:9" s="115" customFormat="1" ht="16.5" hidden="1" customHeight="1" x14ac:dyDescent="0.25">
      <c r="C5216" s="222"/>
      <c r="D5216" s="547" t="s">
        <v>235</v>
      </c>
      <c r="E5216" s="551">
        <v>300000000</v>
      </c>
      <c r="F5216" s="349">
        <v>299928000</v>
      </c>
      <c r="G5216" s="382">
        <f t="shared" si="324"/>
        <v>99.975999999999999</v>
      </c>
      <c r="H5216" s="565">
        <v>100</v>
      </c>
      <c r="I5216" s="121"/>
    </row>
    <row r="5217" spans="3:9" ht="16.5" hidden="1" customHeight="1" x14ac:dyDescent="0.25">
      <c r="C5217" s="222"/>
      <c r="D5217" s="479" t="s">
        <v>3694</v>
      </c>
      <c r="E5217" s="551">
        <v>900000000</v>
      </c>
      <c r="F5217" s="349">
        <v>899000000</v>
      </c>
      <c r="G5217" s="382">
        <f t="shared" si="324"/>
        <v>99.8888888888889</v>
      </c>
      <c r="H5217" s="565">
        <v>100</v>
      </c>
      <c r="I5217" s="111"/>
    </row>
    <row r="5218" spans="3:9" ht="16.5" hidden="1" customHeight="1" x14ac:dyDescent="0.25">
      <c r="C5218" s="222"/>
      <c r="D5218" s="547" t="s">
        <v>3695</v>
      </c>
      <c r="E5218" s="551">
        <v>4950000000</v>
      </c>
      <c r="F5218" s="349">
        <v>4680775000</v>
      </c>
      <c r="G5218" s="382">
        <f t="shared" si="324"/>
        <v>94.561111111111103</v>
      </c>
      <c r="H5218" s="565">
        <v>100</v>
      </c>
      <c r="I5218" s="111"/>
    </row>
    <row r="5219" spans="3:9" s="115" customFormat="1" ht="16.5" hidden="1" customHeight="1" x14ac:dyDescent="0.25">
      <c r="C5219" s="222"/>
      <c r="D5219" s="545" t="s">
        <v>3000</v>
      </c>
      <c r="E5219" s="348">
        <f>+E5220</f>
        <v>250000000</v>
      </c>
      <c r="F5219" s="348">
        <f>+F5220</f>
        <v>250000000</v>
      </c>
      <c r="G5219" s="381">
        <f t="shared" si="324"/>
        <v>100</v>
      </c>
      <c r="H5219" s="563">
        <f>+H5220</f>
        <v>100</v>
      </c>
      <c r="I5219" s="121"/>
    </row>
    <row r="5220" spans="3:9" ht="16.5" hidden="1" customHeight="1" x14ac:dyDescent="0.25">
      <c r="C5220" s="222"/>
      <c r="D5220" s="549" t="s">
        <v>3696</v>
      </c>
      <c r="E5220" s="349">
        <v>250000000</v>
      </c>
      <c r="F5220" s="349">
        <v>250000000</v>
      </c>
      <c r="G5220" s="382">
        <f t="shared" si="324"/>
        <v>100</v>
      </c>
      <c r="H5220" s="565">
        <v>100</v>
      </c>
      <c r="I5220" s="111"/>
    </row>
    <row r="5221" spans="3:9" ht="16.5" hidden="1" customHeight="1" x14ac:dyDescent="0.25">
      <c r="C5221" s="222"/>
      <c r="D5221" s="549"/>
      <c r="E5221" s="349"/>
      <c r="F5221" s="349"/>
      <c r="G5221" s="382"/>
      <c r="H5221" s="565"/>
      <c r="I5221" s="111"/>
    </row>
    <row r="5222" spans="3:9" s="115" customFormat="1" ht="16.5" hidden="1" customHeight="1" x14ac:dyDescent="0.25">
      <c r="C5222" s="222"/>
      <c r="D5222" s="545" t="s">
        <v>3697</v>
      </c>
      <c r="E5222" s="348">
        <f>+E5223+E5225+E5227</f>
        <v>8476547400</v>
      </c>
      <c r="F5222" s="348">
        <f>+F5223+F5225+F5227</f>
        <v>8037056000</v>
      </c>
      <c r="G5222" s="381">
        <f t="shared" ref="G5222:G5228" si="325">100*(F5222/E5222)</f>
        <v>94.815207427495778</v>
      </c>
      <c r="H5222" s="563">
        <v>100</v>
      </c>
      <c r="I5222" s="121"/>
    </row>
    <row r="5223" spans="3:9" s="115" customFormat="1" ht="16.5" hidden="1" customHeight="1" x14ac:dyDescent="0.25">
      <c r="C5223" s="222"/>
      <c r="D5223" s="552" t="s">
        <v>3207</v>
      </c>
      <c r="E5223" s="348">
        <f>+E5224</f>
        <v>5502500000</v>
      </c>
      <c r="F5223" s="348">
        <f>+F5224</f>
        <v>5150577000</v>
      </c>
      <c r="G5223" s="381">
        <f t="shared" si="325"/>
        <v>93.60430713312131</v>
      </c>
      <c r="H5223" s="563">
        <f>+H5224</f>
        <v>100</v>
      </c>
      <c r="I5223" s="121"/>
    </row>
    <row r="5224" spans="3:9" s="115" customFormat="1" ht="16.5" hidden="1" customHeight="1" x14ac:dyDescent="0.25">
      <c r="C5224" s="222"/>
      <c r="D5224" s="549" t="s">
        <v>3698</v>
      </c>
      <c r="E5224" s="349">
        <v>5502500000</v>
      </c>
      <c r="F5224" s="349">
        <v>5150577000</v>
      </c>
      <c r="G5224" s="382">
        <f t="shared" si="325"/>
        <v>93.60430713312131</v>
      </c>
      <c r="H5224" s="565">
        <v>100</v>
      </c>
      <c r="I5224" s="121"/>
    </row>
    <row r="5225" spans="3:9" s="115" customFormat="1" ht="16.5" hidden="1" customHeight="1" x14ac:dyDescent="0.25">
      <c r="C5225" s="222"/>
      <c r="D5225" s="552" t="s">
        <v>2840</v>
      </c>
      <c r="E5225" s="348">
        <f>+E5226</f>
        <v>1297114985</v>
      </c>
      <c r="F5225" s="348">
        <f>+F5226</f>
        <v>1238379000</v>
      </c>
      <c r="G5225" s="381">
        <f t="shared" si="325"/>
        <v>95.471798130525798</v>
      </c>
      <c r="H5225" s="563">
        <f>+H5226</f>
        <v>100</v>
      </c>
      <c r="I5225" s="121"/>
    </row>
    <row r="5226" spans="3:9" ht="16.5" hidden="1" customHeight="1" x14ac:dyDescent="0.25">
      <c r="C5226" s="222"/>
      <c r="D5226" s="549" t="s">
        <v>3699</v>
      </c>
      <c r="E5226" s="349">
        <v>1297114985</v>
      </c>
      <c r="F5226" s="349">
        <v>1238379000</v>
      </c>
      <c r="G5226" s="382">
        <f t="shared" si="325"/>
        <v>95.471798130525798</v>
      </c>
      <c r="H5226" s="565">
        <v>100</v>
      </c>
      <c r="I5226" s="111"/>
    </row>
    <row r="5227" spans="3:9" s="115" customFormat="1" ht="16.5" hidden="1" customHeight="1" x14ac:dyDescent="0.25">
      <c r="C5227" s="222"/>
      <c r="D5227" s="552" t="s">
        <v>3700</v>
      </c>
      <c r="E5227" s="348">
        <f>+E5228</f>
        <v>1676932415</v>
      </c>
      <c r="F5227" s="348">
        <f>+F5228</f>
        <v>1648100000</v>
      </c>
      <c r="G5227" s="381">
        <f t="shared" si="325"/>
        <v>98.280645377112592</v>
      </c>
      <c r="H5227" s="563">
        <f>+H5228</f>
        <v>100</v>
      </c>
      <c r="I5227" s="121"/>
    </row>
    <row r="5228" spans="3:9" s="115" customFormat="1" ht="16.5" hidden="1" customHeight="1" x14ac:dyDescent="0.25">
      <c r="C5228" s="222"/>
      <c r="D5228" s="549" t="s">
        <v>1232</v>
      </c>
      <c r="E5228" s="349">
        <v>1676932415</v>
      </c>
      <c r="F5228" s="349">
        <v>1648100000</v>
      </c>
      <c r="G5228" s="382">
        <f t="shared" si="325"/>
        <v>98.280645377112592</v>
      </c>
      <c r="H5228" s="565">
        <v>100</v>
      </c>
      <c r="I5228" s="121"/>
    </row>
    <row r="5229" spans="3:9" s="115" customFormat="1" ht="16.5" hidden="1" customHeight="1" x14ac:dyDescent="0.25">
      <c r="C5229" s="222"/>
      <c r="D5229" s="549"/>
      <c r="E5229" s="349"/>
      <c r="F5229" s="349"/>
      <c r="G5229" s="382"/>
      <c r="H5229" s="565"/>
      <c r="I5229" s="121"/>
    </row>
    <row r="5230" spans="3:9" s="115" customFormat="1" ht="16.5" hidden="1" customHeight="1" x14ac:dyDescent="0.25">
      <c r="C5230" s="222"/>
      <c r="D5230" s="545" t="s">
        <v>3701</v>
      </c>
      <c r="E5230" s="348">
        <f>+E5231</f>
        <v>11621760000</v>
      </c>
      <c r="F5230" s="348">
        <f>+F5231</f>
        <v>11330840000</v>
      </c>
      <c r="G5230" s="381">
        <f>100*(F5230/E5230)</f>
        <v>97.496764689685563</v>
      </c>
      <c r="H5230" s="563">
        <v>100</v>
      </c>
      <c r="I5230" s="121"/>
    </row>
    <row r="5231" spans="3:9" s="115" customFormat="1" ht="16.5" hidden="1" customHeight="1" x14ac:dyDescent="0.25">
      <c r="C5231" s="222"/>
      <c r="D5231" s="552" t="s">
        <v>729</v>
      </c>
      <c r="E5231" s="348">
        <f>+E5232+E5233</f>
        <v>11621760000</v>
      </c>
      <c r="F5231" s="348">
        <f>+F5232+F5233</f>
        <v>11330840000</v>
      </c>
      <c r="G5231" s="381">
        <f>100*(F5231/E5231)</f>
        <v>97.496764689685563</v>
      </c>
      <c r="H5231" s="563">
        <f>SUM(H5232:H5233)/2</f>
        <v>100</v>
      </c>
      <c r="I5231" s="121"/>
    </row>
    <row r="5232" spans="3:9" ht="16.5" hidden="1" customHeight="1" x14ac:dyDescent="0.25">
      <c r="C5232" s="222"/>
      <c r="D5232" s="549" t="s">
        <v>862</v>
      </c>
      <c r="E5232" s="349">
        <v>9971760000</v>
      </c>
      <c r="F5232" s="349">
        <v>9722650000</v>
      </c>
      <c r="G5232" s="382">
        <f>100*(F5232/E5232)</f>
        <v>97.501845210875516</v>
      </c>
      <c r="H5232" s="565">
        <v>100</v>
      </c>
      <c r="I5232" s="111"/>
    </row>
    <row r="5233" spans="3:9" ht="16.5" hidden="1" customHeight="1" x14ac:dyDescent="0.25">
      <c r="C5233" s="222"/>
      <c r="D5233" s="549" t="s">
        <v>3702</v>
      </c>
      <c r="E5233" s="349">
        <v>1650000000</v>
      </c>
      <c r="F5233" s="349">
        <v>1608190000</v>
      </c>
      <c r="G5233" s="382">
        <f>100*(F5233/E5233)</f>
        <v>97.466060606060594</v>
      </c>
      <c r="H5233" s="565">
        <v>100</v>
      </c>
      <c r="I5233" s="111"/>
    </row>
    <row r="5234" spans="3:9" ht="16.5" hidden="1" customHeight="1" x14ac:dyDescent="0.25">
      <c r="C5234" s="222"/>
      <c r="D5234" s="549"/>
      <c r="E5234" s="349"/>
      <c r="F5234" s="349"/>
      <c r="G5234" s="382"/>
      <c r="H5234" s="565"/>
      <c r="I5234" s="111"/>
    </row>
    <row r="5235" spans="3:9" s="115" customFormat="1" ht="16.5" hidden="1" customHeight="1" x14ac:dyDescent="0.25">
      <c r="C5235" s="222"/>
      <c r="D5235" s="545" t="s">
        <v>864</v>
      </c>
      <c r="E5235" s="348">
        <f>+E5236</f>
        <v>400000000</v>
      </c>
      <c r="F5235" s="348">
        <f>+F5236</f>
        <v>400000000</v>
      </c>
      <c r="G5235" s="381">
        <f>100*(F5235/E5235)</f>
        <v>100</v>
      </c>
      <c r="H5235" s="563">
        <v>100</v>
      </c>
      <c r="I5235" s="121"/>
    </row>
    <row r="5236" spans="3:9" s="115" customFormat="1" ht="16.5" hidden="1" customHeight="1" x14ac:dyDescent="0.25">
      <c r="C5236" s="222"/>
      <c r="D5236" s="552" t="s">
        <v>3703</v>
      </c>
      <c r="E5236" s="348">
        <f>+E5237</f>
        <v>400000000</v>
      </c>
      <c r="F5236" s="348">
        <f>+F5237</f>
        <v>400000000</v>
      </c>
      <c r="G5236" s="382">
        <f>100*(F5236/E5236)</f>
        <v>100</v>
      </c>
      <c r="H5236" s="563">
        <f>+H5237</f>
        <v>100</v>
      </c>
      <c r="I5236" s="121"/>
    </row>
    <row r="5237" spans="3:9" ht="16.5" hidden="1" customHeight="1" x14ac:dyDescent="0.25">
      <c r="C5237" s="222"/>
      <c r="D5237" s="549" t="s">
        <v>3704</v>
      </c>
      <c r="E5237" s="349">
        <v>400000000</v>
      </c>
      <c r="F5237" s="349">
        <v>400000000</v>
      </c>
      <c r="G5237" s="382">
        <f>100*(F5237/E5237)</f>
        <v>100</v>
      </c>
      <c r="H5237" s="565">
        <v>100</v>
      </c>
      <c r="I5237" s="111"/>
    </row>
    <row r="5238" spans="3:9" s="115" customFormat="1" ht="16.5" hidden="1" customHeight="1" x14ac:dyDescent="0.25">
      <c r="C5238" s="222"/>
      <c r="D5238" s="549"/>
      <c r="E5238" s="349"/>
      <c r="F5238" s="349"/>
      <c r="G5238" s="382"/>
      <c r="H5238" s="565"/>
      <c r="I5238" s="121"/>
    </row>
    <row r="5239" spans="3:9" s="115" customFormat="1" ht="16.5" hidden="1" customHeight="1" x14ac:dyDescent="0.25">
      <c r="C5239" s="222"/>
      <c r="D5239" s="545" t="s">
        <v>3705</v>
      </c>
      <c r="E5239" s="348">
        <f>+E5240+E5242</f>
        <v>1500000000</v>
      </c>
      <c r="F5239" s="348">
        <f>+F5240+F5242</f>
        <v>1484700000</v>
      </c>
      <c r="G5239" s="381">
        <f>100*(F5239/E5239)</f>
        <v>98.98</v>
      </c>
      <c r="H5239" s="563">
        <v>100</v>
      </c>
      <c r="I5239" s="121"/>
    </row>
    <row r="5240" spans="3:9" s="115" customFormat="1" ht="16.5" hidden="1" customHeight="1" x14ac:dyDescent="0.25">
      <c r="C5240" s="222"/>
      <c r="D5240" s="552" t="s">
        <v>343</v>
      </c>
      <c r="E5240" s="348">
        <f>+E5241</f>
        <v>750000000</v>
      </c>
      <c r="F5240" s="348">
        <f>+F5241</f>
        <v>750000000</v>
      </c>
      <c r="G5240" s="382">
        <f>100*(F5240/E5240)</f>
        <v>100</v>
      </c>
      <c r="H5240" s="563">
        <f>+H5241</f>
        <v>100</v>
      </c>
      <c r="I5240" s="121"/>
    </row>
    <row r="5241" spans="3:9" ht="16.5" hidden="1" customHeight="1" x14ac:dyDescent="0.25">
      <c r="C5241" s="222"/>
      <c r="D5241" s="549" t="s">
        <v>3706</v>
      </c>
      <c r="E5241" s="349">
        <v>750000000</v>
      </c>
      <c r="F5241" s="349">
        <v>750000000</v>
      </c>
      <c r="G5241" s="382">
        <f>100*(F5241/E5241)</f>
        <v>100</v>
      </c>
      <c r="H5241" s="565">
        <v>100</v>
      </c>
      <c r="I5241" s="111"/>
    </row>
    <row r="5242" spans="3:9" s="115" customFormat="1" ht="16.5" hidden="1" customHeight="1" x14ac:dyDescent="0.25">
      <c r="C5242" s="222"/>
      <c r="D5242" s="552" t="s">
        <v>929</v>
      </c>
      <c r="E5242" s="348">
        <f>+E5243</f>
        <v>750000000</v>
      </c>
      <c r="F5242" s="348">
        <f>+F5243</f>
        <v>734700000</v>
      </c>
      <c r="G5242" s="381">
        <f>100*(F5242/E5242)</f>
        <v>97.960000000000008</v>
      </c>
      <c r="H5242" s="563">
        <f>+H5243</f>
        <v>100</v>
      </c>
      <c r="I5242" s="121"/>
    </row>
    <row r="5243" spans="3:9" ht="16.5" hidden="1" customHeight="1" x14ac:dyDescent="0.25">
      <c r="C5243" s="222"/>
      <c r="D5243" s="549" t="s">
        <v>3707</v>
      </c>
      <c r="E5243" s="349">
        <v>750000000</v>
      </c>
      <c r="F5243" s="349">
        <v>734700000</v>
      </c>
      <c r="G5243" s="382">
        <f>100*(F5243/E5243)</f>
        <v>97.960000000000008</v>
      </c>
      <c r="H5243" s="565">
        <v>100</v>
      </c>
      <c r="I5243" s="111"/>
    </row>
    <row r="5244" spans="3:9" ht="16.5" hidden="1" customHeight="1" x14ac:dyDescent="0.25">
      <c r="C5244" s="222"/>
      <c r="D5244" s="549"/>
      <c r="E5244" s="349"/>
      <c r="F5244" s="349"/>
      <c r="G5244" s="382"/>
      <c r="H5244" s="565"/>
      <c r="I5244" s="111"/>
    </row>
    <row r="5245" spans="3:9" s="115" customFormat="1" ht="16.5" hidden="1" customHeight="1" x14ac:dyDescent="0.25">
      <c r="C5245" s="222"/>
      <c r="D5245" s="552" t="s">
        <v>3708</v>
      </c>
      <c r="E5245" s="348">
        <f>+E5246+E5249+E5251</f>
        <v>2000000000</v>
      </c>
      <c r="F5245" s="348">
        <f>+F5246+F5249+F5251</f>
        <v>1839942843</v>
      </c>
      <c r="G5245" s="381">
        <f t="shared" ref="G5245:G5252" si="326">100*(F5245/E5245)</f>
        <v>91.997142150000002</v>
      </c>
      <c r="H5245" s="563">
        <v>100</v>
      </c>
      <c r="I5245" s="121"/>
    </row>
    <row r="5246" spans="3:9" s="115" customFormat="1" ht="16.5" hidden="1" customHeight="1" x14ac:dyDescent="0.25">
      <c r="C5246" s="222"/>
      <c r="D5246" s="552" t="s">
        <v>1759</v>
      </c>
      <c r="E5246" s="348">
        <f>+E5247+E5248</f>
        <v>1300000000</v>
      </c>
      <c r="F5246" s="348">
        <f>+F5247+F5248</f>
        <v>1159413380</v>
      </c>
      <c r="G5246" s="381">
        <f t="shared" si="326"/>
        <v>89.185644615384618</v>
      </c>
      <c r="H5246" s="563">
        <f>+H5247</f>
        <v>100</v>
      </c>
      <c r="I5246" s="121"/>
    </row>
    <row r="5247" spans="3:9" ht="16.5" hidden="1" customHeight="1" x14ac:dyDescent="0.25">
      <c r="C5247" s="222"/>
      <c r="D5247" s="549" t="s">
        <v>3709</v>
      </c>
      <c r="E5247" s="349">
        <v>650000000</v>
      </c>
      <c r="F5247" s="349">
        <v>600922600</v>
      </c>
      <c r="G5247" s="382">
        <f t="shared" si="326"/>
        <v>92.449630769230779</v>
      </c>
      <c r="H5247" s="565">
        <v>100</v>
      </c>
      <c r="I5247" s="111"/>
    </row>
    <row r="5248" spans="3:9" ht="16.5" hidden="1" customHeight="1" x14ac:dyDescent="0.25">
      <c r="C5248" s="222"/>
      <c r="D5248" s="549" t="s">
        <v>3710</v>
      </c>
      <c r="E5248" s="349">
        <v>650000000</v>
      </c>
      <c r="F5248" s="349">
        <v>558490780</v>
      </c>
      <c r="G5248" s="382">
        <f t="shared" si="326"/>
        <v>85.92165846153847</v>
      </c>
      <c r="H5248" s="565">
        <v>100</v>
      </c>
      <c r="I5248" s="111"/>
    </row>
    <row r="5249" spans="3:9" s="115" customFormat="1" ht="16.5" hidden="1" customHeight="1" x14ac:dyDescent="0.25">
      <c r="C5249" s="222"/>
      <c r="D5249" s="552" t="s">
        <v>3711</v>
      </c>
      <c r="E5249" s="348">
        <f>+E5250</f>
        <v>350000000</v>
      </c>
      <c r="F5249" s="348">
        <f>+F5250</f>
        <v>338769463</v>
      </c>
      <c r="G5249" s="381">
        <f t="shared" si="326"/>
        <v>96.791275142857145</v>
      </c>
      <c r="H5249" s="563">
        <f>+H5250</f>
        <v>100</v>
      </c>
      <c r="I5249" s="121"/>
    </row>
    <row r="5250" spans="3:9" ht="16.5" hidden="1" customHeight="1" x14ac:dyDescent="0.25">
      <c r="C5250" s="222"/>
      <c r="D5250" s="549" t="s">
        <v>3712</v>
      </c>
      <c r="E5250" s="349">
        <v>350000000</v>
      </c>
      <c r="F5250" s="349">
        <v>338769463</v>
      </c>
      <c r="G5250" s="382">
        <f t="shared" si="326"/>
        <v>96.791275142857145</v>
      </c>
      <c r="H5250" s="565">
        <v>100</v>
      </c>
      <c r="I5250" s="111"/>
    </row>
    <row r="5251" spans="3:9" s="115" customFormat="1" ht="16.5" hidden="1" customHeight="1" x14ac:dyDescent="0.25">
      <c r="C5251" s="222"/>
      <c r="D5251" s="552" t="s">
        <v>3713</v>
      </c>
      <c r="E5251" s="348">
        <f>+E5252</f>
        <v>350000000</v>
      </c>
      <c r="F5251" s="348">
        <f>+F5252</f>
        <v>341760000</v>
      </c>
      <c r="G5251" s="381">
        <f t="shared" si="326"/>
        <v>97.645714285714291</v>
      </c>
      <c r="H5251" s="563">
        <f>+H5252</f>
        <v>100</v>
      </c>
      <c r="I5251" s="121"/>
    </row>
    <row r="5252" spans="3:9" ht="16.5" hidden="1" customHeight="1" x14ac:dyDescent="0.25">
      <c r="C5252" s="222"/>
      <c r="D5252" s="549" t="s">
        <v>3714</v>
      </c>
      <c r="E5252" s="349">
        <v>350000000</v>
      </c>
      <c r="F5252" s="349">
        <v>341760000</v>
      </c>
      <c r="G5252" s="382">
        <f t="shared" si="326"/>
        <v>97.645714285714291</v>
      </c>
      <c r="H5252" s="565">
        <v>100</v>
      </c>
      <c r="I5252" s="111"/>
    </row>
    <row r="5253" spans="3:9" ht="16.5" hidden="1" customHeight="1" x14ac:dyDescent="0.25">
      <c r="C5253" s="222"/>
      <c r="D5253" s="549"/>
      <c r="E5253" s="349"/>
      <c r="F5253" s="349"/>
      <c r="G5253" s="382"/>
      <c r="H5253" s="565"/>
      <c r="I5253" s="111"/>
    </row>
    <row r="5254" spans="3:9" s="115" customFormat="1" ht="16.5" hidden="1" customHeight="1" x14ac:dyDescent="0.25">
      <c r="C5254" s="222"/>
      <c r="D5254" s="552" t="s">
        <v>2827</v>
      </c>
      <c r="E5254" s="348">
        <f>+E5255</f>
        <v>829492160</v>
      </c>
      <c r="F5254" s="348">
        <f>+F5255</f>
        <v>826515550</v>
      </c>
      <c r="G5254" s="381">
        <f>100*(F5254/E5254)</f>
        <v>99.641152726506789</v>
      </c>
      <c r="H5254" s="563">
        <v>100</v>
      </c>
      <c r="I5254" s="121"/>
    </row>
    <row r="5255" spans="3:9" s="115" customFormat="1" ht="16.5" hidden="1" customHeight="1" x14ac:dyDescent="0.25">
      <c r="C5255" s="222"/>
      <c r="D5255" s="552" t="s">
        <v>2828</v>
      </c>
      <c r="E5255" s="348">
        <f>+E5256</f>
        <v>829492160</v>
      </c>
      <c r="F5255" s="348">
        <f>+F5256</f>
        <v>826515550</v>
      </c>
      <c r="G5255" s="381">
        <f>100*(F5255/E5255)</f>
        <v>99.641152726506789</v>
      </c>
      <c r="H5255" s="563">
        <f>+H5256</f>
        <v>100</v>
      </c>
      <c r="I5255" s="121"/>
    </row>
    <row r="5256" spans="3:9" ht="16.5" hidden="1" customHeight="1" x14ac:dyDescent="0.25">
      <c r="C5256" s="222"/>
      <c r="D5256" s="549" t="s">
        <v>3715</v>
      </c>
      <c r="E5256" s="349">
        <v>829492160</v>
      </c>
      <c r="F5256" s="349">
        <v>826515550</v>
      </c>
      <c r="G5256" s="382">
        <f>100*(F5256/E5256)</f>
        <v>99.641152726506789</v>
      </c>
      <c r="H5256" s="565">
        <v>100</v>
      </c>
      <c r="I5256" s="111"/>
    </row>
    <row r="5257" spans="3:9" ht="16.5" hidden="1" customHeight="1" x14ac:dyDescent="0.25">
      <c r="C5257" s="222"/>
      <c r="D5257" s="549"/>
      <c r="E5257" s="349"/>
      <c r="F5257" s="349"/>
      <c r="G5257" s="382"/>
      <c r="H5257" s="565"/>
      <c r="I5257" s="111"/>
    </row>
    <row r="5258" spans="3:9" s="115" customFormat="1" ht="16.5" hidden="1" customHeight="1" x14ac:dyDescent="0.25">
      <c r="C5258" s="222"/>
      <c r="D5258" s="552" t="s">
        <v>869</v>
      </c>
      <c r="E5258" s="348">
        <f>+E5259</f>
        <v>2000000000</v>
      </c>
      <c r="F5258" s="348">
        <f>+F5259</f>
        <v>1924657000</v>
      </c>
      <c r="G5258" s="381">
        <f>100*(F5258/E5258)</f>
        <v>96.232849999999999</v>
      </c>
      <c r="H5258" s="563">
        <v>100</v>
      </c>
      <c r="I5258" s="121"/>
    </row>
    <row r="5259" spans="3:9" s="115" customFormat="1" ht="16.5" hidden="1" customHeight="1" x14ac:dyDescent="0.25">
      <c r="C5259" s="222"/>
      <c r="D5259" s="552" t="s">
        <v>1597</v>
      </c>
      <c r="E5259" s="348">
        <f>+E5260</f>
        <v>2000000000</v>
      </c>
      <c r="F5259" s="348">
        <f>+F5260</f>
        <v>1924657000</v>
      </c>
      <c r="G5259" s="381">
        <f>100*(F5259/E5259)</f>
        <v>96.232849999999999</v>
      </c>
      <c r="H5259" s="563">
        <f>+H5260</f>
        <v>100</v>
      </c>
      <c r="I5259" s="121"/>
    </row>
    <row r="5260" spans="3:9" ht="16.5" hidden="1" customHeight="1" x14ac:dyDescent="0.25">
      <c r="C5260" s="222"/>
      <c r="D5260" s="549" t="s">
        <v>3716</v>
      </c>
      <c r="E5260" s="349">
        <v>2000000000</v>
      </c>
      <c r="F5260" s="349">
        <v>1924657000</v>
      </c>
      <c r="G5260" s="382">
        <f>100*(F5260/E5260)</f>
        <v>96.232849999999999</v>
      </c>
      <c r="H5260" s="565">
        <v>100</v>
      </c>
      <c r="I5260" s="111"/>
    </row>
    <row r="5261" spans="3:9" ht="16.5" hidden="1" customHeight="1" x14ac:dyDescent="0.25">
      <c r="C5261" s="222"/>
      <c r="D5261" s="549"/>
      <c r="E5261" s="349"/>
      <c r="F5261" s="349"/>
      <c r="G5261" s="382"/>
      <c r="H5261" s="565"/>
      <c r="I5261" s="111"/>
    </row>
    <row r="5262" spans="3:9" s="115" customFormat="1" ht="16.5" hidden="1" customHeight="1" x14ac:dyDescent="0.25">
      <c r="C5262" s="222"/>
      <c r="D5262" s="552" t="s">
        <v>3717</v>
      </c>
      <c r="E5262" s="348">
        <f>+E5263+E5265+E5269</f>
        <v>9000000000</v>
      </c>
      <c r="F5262" s="348">
        <f>+F5263+F5265+F5269</f>
        <v>7949012700</v>
      </c>
      <c r="G5262" s="381">
        <f t="shared" ref="G5262:G5270" si="327">100*(F5262/E5262)</f>
        <v>88.322363333333328</v>
      </c>
      <c r="H5262" s="563">
        <v>97</v>
      </c>
      <c r="I5262" s="121"/>
    </row>
    <row r="5263" spans="3:9" s="115" customFormat="1" ht="16.5" hidden="1" customHeight="1" x14ac:dyDescent="0.25">
      <c r="C5263" s="222"/>
      <c r="D5263" s="552" t="s">
        <v>3718</v>
      </c>
      <c r="E5263" s="348">
        <f>+E5264</f>
        <v>4000000000</v>
      </c>
      <c r="F5263" s="348">
        <f>+F5264</f>
        <v>3974399000</v>
      </c>
      <c r="G5263" s="381">
        <f t="shared" si="327"/>
        <v>99.359975000000006</v>
      </c>
      <c r="H5263" s="563">
        <f>+H5264</f>
        <v>100</v>
      </c>
      <c r="I5263" s="121"/>
    </row>
    <row r="5264" spans="3:9" ht="16.5" hidden="1" customHeight="1" x14ac:dyDescent="0.25">
      <c r="C5264" s="222"/>
      <c r="D5264" s="549" t="s">
        <v>3719</v>
      </c>
      <c r="E5264" s="349">
        <v>4000000000</v>
      </c>
      <c r="F5264" s="349">
        <v>3974399000</v>
      </c>
      <c r="G5264" s="382">
        <f t="shared" si="327"/>
        <v>99.359975000000006</v>
      </c>
      <c r="H5264" s="565">
        <v>100</v>
      </c>
      <c r="I5264" s="111"/>
    </row>
    <row r="5265" spans="3:9" s="115" customFormat="1" ht="16.5" hidden="1" customHeight="1" x14ac:dyDescent="0.25">
      <c r="C5265" s="222"/>
      <c r="D5265" s="552" t="s">
        <v>896</v>
      </c>
      <c r="E5265" s="348">
        <f>+E5266+E5267+E5268</f>
        <v>3000000000</v>
      </c>
      <c r="F5265" s="348">
        <f>+F5266+F5267+F5268</f>
        <v>2850813700</v>
      </c>
      <c r="G5265" s="381">
        <f t="shared" si="327"/>
        <v>95.027123333333336</v>
      </c>
      <c r="H5265" s="563">
        <f>SUM(H5266:H5268)/3</f>
        <v>100</v>
      </c>
      <c r="I5265" s="121"/>
    </row>
    <row r="5266" spans="3:9" ht="16.5" hidden="1" customHeight="1" x14ac:dyDescent="0.25">
      <c r="C5266" s="222"/>
      <c r="D5266" s="549" t="s">
        <v>3720</v>
      </c>
      <c r="E5266" s="349">
        <v>1500000000</v>
      </c>
      <c r="F5266" s="349">
        <v>1384376200</v>
      </c>
      <c r="G5266" s="382">
        <f t="shared" si="327"/>
        <v>92.291746666666668</v>
      </c>
      <c r="H5266" s="565">
        <v>100</v>
      </c>
      <c r="I5266" s="111"/>
    </row>
    <row r="5267" spans="3:9" ht="16.5" hidden="1" customHeight="1" x14ac:dyDescent="0.25">
      <c r="C5267" s="222"/>
      <c r="D5267" s="549" t="s">
        <v>3721</v>
      </c>
      <c r="E5267" s="349">
        <v>871000000</v>
      </c>
      <c r="F5267" s="349">
        <v>843977500</v>
      </c>
      <c r="G5267" s="382">
        <f t="shared" si="327"/>
        <v>96.897531572904711</v>
      </c>
      <c r="H5267" s="565">
        <v>100</v>
      </c>
      <c r="I5267" s="111"/>
    </row>
    <row r="5268" spans="3:9" ht="16.5" hidden="1" customHeight="1" x14ac:dyDescent="0.25">
      <c r="C5268" s="222"/>
      <c r="D5268" s="549" t="s">
        <v>3722</v>
      </c>
      <c r="E5268" s="349">
        <v>629000000</v>
      </c>
      <c r="F5268" s="349">
        <v>622460000</v>
      </c>
      <c r="G5268" s="382">
        <f t="shared" si="327"/>
        <v>98.960254372019079</v>
      </c>
      <c r="H5268" s="565">
        <v>100</v>
      </c>
      <c r="I5268" s="111"/>
    </row>
    <row r="5269" spans="3:9" s="115" customFormat="1" ht="16.5" hidden="1" customHeight="1" x14ac:dyDescent="0.25">
      <c r="C5269" s="222"/>
      <c r="D5269" s="552" t="s">
        <v>1801</v>
      </c>
      <c r="E5269" s="348">
        <f>+E5270</f>
        <v>2000000000</v>
      </c>
      <c r="F5269" s="348">
        <f>+F5270</f>
        <v>1123800000</v>
      </c>
      <c r="G5269" s="381">
        <f t="shared" si="327"/>
        <v>56.19</v>
      </c>
      <c r="H5269" s="563">
        <f>+H5270</f>
        <v>60</v>
      </c>
      <c r="I5269" s="121"/>
    </row>
    <row r="5270" spans="3:9" ht="16.5" hidden="1" customHeight="1" x14ac:dyDescent="0.25">
      <c r="C5270" s="222"/>
      <c r="D5270" s="549" t="s">
        <v>3723</v>
      </c>
      <c r="E5270" s="349">
        <v>2000000000</v>
      </c>
      <c r="F5270" s="349">
        <v>1123800000</v>
      </c>
      <c r="G5270" s="382">
        <f t="shared" si="327"/>
        <v>56.19</v>
      </c>
      <c r="H5270" s="565">
        <v>60</v>
      </c>
      <c r="I5270" s="111"/>
    </row>
    <row r="5271" spans="3:9" ht="16.5" hidden="1" customHeight="1" x14ac:dyDescent="0.25">
      <c r="C5271" s="222"/>
      <c r="D5271" s="549"/>
      <c r="E5271" s="349"/>
      <c r="F5271" s="349"/>
      <c r="G5271" s="382"/>
      <c r="H5271" s="565"/>
      <c r="I5271" s="111"/>
    </row>
    <row r="5272" spans="3:9" s="115" customFormat="1" ht="16.5" hidden="1" customHeight="1" x14ac:dyDescent="0.25">
      <c r="C5272" s="222"/>
      <c r="D5272" s="552" t="s">
        <v>905</v>
      </c>
      <c r="E5272" s="348">
        <f>+E5273</f>
        <v>1009830720</v>
      </c>
      <c r="F5272" s="348">
        <f>+F5273</f>
        <v>971045720</v>
      </c>
      <c r="G5272" s="381">
        <f>100*(F5272/E5272)</f>
        <v>96.159257266406001</v>
      </c>
      <c r="H5272" s="563">
        <v>100</v>
      </c>
      <c r="I5272" s="121"/>
    </row>
    <row r="5273" spans="3:9" s="115" customFormat="1" ht="16.5" hidden="1" customHeight="1" x14ac:dyDescent="0.25">
      <c r="C5273" s="222"/>
      <c r="D5273" s="552" t="s">
        <v>396</v>
      </c>
      <c r="E5273" s="348">
        <f>+E5274</f>
        <v>1009830720</v>
      </c>
      <c r="F5273" s="348">
        <f>+F5274</f>
        <v>971045720</v>
      </c>
      <c r="G5273" s="381">
        <f>100*(F5273/E5273)</f>
        <v>96.159257266406001</v>
      </c>
      <c r="H5273" s="563">
        <f>+H5274</f>
        <v>100</v>
      </c>
      <c r="I5273" s="121"/>
    </row>
    <row r="5274" spans="3:9" ht="16.5" hidden="1" customHeight="1" x14ac:dyDescent="0.25">
      <c r="C5274" s="222"/>
      <c r="D5274" s="549" t="s">
        <v>3724</v>
      </c>
      <c r="E5274" s="551">
        <v>1009830720</v>
      </c>
      <c r="F5274" s="349">
        <v>971045720</v>
      </c>
      <c r="G5274" s="382">
        <f>100*(F5274/E5274)</f>
        <v>96.159257266406001</v>
      </c>
      <c r="H5274" s="565">
        <v>100</v>
      </c>
      <c r="I5274" s="111"/>
    </row>
    <row r="5275" spans="3:9" ht="16.5" hidden="1" customHeight="1" x14ac:dyDescent="0.25">
      <c r="C5275" s="222"/>
      <c r="D5275" s="550"/>
      <c r="E5275" s="349"/>
      <c r="F5275" s="349"/>
      <c r="G5275" s="382"/>
      <c r="H5275" s="565"/>
      <c r="I5275" s="111"/>
    </row>
    <row r="5276" spans="3:9" s="115" customFormat="1" ht="16.5" hidden="1" customHeight="1" x14ac:dyDescent="0.25">
      <c r="C5276" s="222"/>
      <c r="D5276" s="552" t="s">
        <v>3725</v>
      </c>
      <c r="E5276" s="348">
        <f>+E5277+E5279</f>
        <v>4850000000</v>
      </c>
      <c r="F5276" s="348">
        <f>+F5277+F5279</f>
        <v>4781262700</v>
      </c>
      <c r="G5276" s="381">
        <f t="shared" ref="G5276:G5281" si="328">100*(F5276/E5276)</f>
        <v>98.582736082474227</v>
      </c>
      <c r="H5276" s="563">
        <v>100</v>
      </c>
      <c r="I5276" s="121"/>
    </row>
    <row r="5277" spans="3:9" s="115" customFormat="1" ht="18.75" hidden="1" customHeight="1" x14ac:dyDescent="0.25">
      <c r="C5277" s="222"/>
      <c r="D5277" s="552" t="s">
        <v>2677</v>
      </c>
      <c r="E5277" s="348">
        <f>+E5278</f>
        <v>1500000000</v>
      </c>
      <c r="F5277" s="348">
        <f>+F5278</f>
        <v>1470548700</v>
      </c>
      <c r="G5277" s="381">
        <f t="shared" si="328"/>
        <v>98.036580000000001</v>
      </c>
      <c r="H5277" s="563">
        <f>+H5278</f>
        <v>100</v>
      </c>
      <c r="I5277" s="121"/>
    </row>
    <row r="5278" spans="3:9" ht="16.5" hidden="1" customHeight="1" x14ac:dyDescent="0.25">
      <c r="C5278" s="222"/>
      <c r="D5278" s="549" t="s">
        <v>3231</v>
      </c>
      <c r="E5278" s="349">
        <v>1500000000</v>
      </c>
      <c r="F5278" s="349">
        <v>1470548700</v>
      </c>
      <c r="G5278" s="382">
        <f t="shared" si="328"/>
        <v>98.036580000000001</v>
      </c>
      <c r="H5278" s="565">
        <v>100</v>
      </c>
      <c r="I5278" s="111"/>
    </row>
    <row r="5279" spans="3:9" s="115" customFormat="1" ht="16.5" hidden="1" customHeight="1" x14ac:dyDescent="0.25">
      <c r="C5279" s="222"/>
      <c r="D5279" s="552" t="s">
        <v>3726</v>
      </c>
      <c r="E5279" s="348">
        <f>+E5280+E5281</f>
        <v>3350000000</v>
      </c>
      <c r="F5279" s="348">
        <f>+F5280+F5281</f>
        <v>3310714000</v>
      </c>
      <c r="G5279" s="381">
        <f t="shared" si="328"/>
        <v>98.827283582089549</v>
      </c>
      <c r="H5279" s="563">
        <f>SUM(H5280:H5281)/2</f>
        <v>100</v>
      </c>
      <c r="I5279" s="121"/>
    </row>
    <row r="5280" spans="3:9" ht="16.5" hidden="1" customHeight="1" x14ac:dyDescent="0.25">
      <c r="C5280" s="222"/>
      <c r="D5280" s="549" t="s">
        <v>518</v>
      </c>
      <c r="E5280" s="349">
        <v>750000000</v>
      </c>
      <c r="F5280" s="349">
        <v>722300000</v>
      </c>
      <c r="G5280" s="382">
        <f t="shared" si="328"/>
        <v>96.306666666666658</v>
      </c>
      <c r="H5280" s="565">
        <v>100</v>
      </c>
      <c r="I5280" s="111"/>
    </row>
    <row r="5281" spans="3:9" s="115" customFormat="1" ht="16.5" hidden="1" customHeight="1" x14ac:dyDescent="0.25">
      <c r="C5281" s="222"/>
      <c r="D5281" s="549" t="s">
        <v>3727</v>
      </c>
      <c r="E5281" s="349">
        <v>2600000000</v>
      </c>
      <c r="F5281" s="349">
        <v>2588414000</v>
      </c>
      <c r="G5281" s="382">
        <f t="shared" si="328"/>
        <v>99.55438461538462</v>
      </c>
      <c r="H5281" s="565">
        <v>100</v>
      </c>
      <c r="I5281" s="121"/>
    </row>
    <row r="5282" spans="3:9" ht="16.5" hidden="1" customHeight="1" x14ac:dyDescent="0.25">
      <c r="C5282" s="222"/>
      <c r="D5282" s="549"/>
      <c r="E5282" s="349"/>
      <c r="F5282" s="349"/>
      <c r="G5282" s="382"/>
      <c r="H5282" s="565"/>
      <c r="I5282" s="111"/>
    </row>
    <row r="5283" spans="3:9" s="115" customFormat="1" ht="16.5" hidden="1" customHeight="1" x14ac:dyDescent="0.25">
      <c r="C5283" s="222"/>
      <c r="D5283" s="552" t="s">
        <v>3507</v>
      </c>
      <c r="E5283" s="348">
        <f>+E5284+E5287+E5292</f>
        <v>9650000000</v>
      </c>
      <c r="F5283" s="348">
        <f>+F5284+F5287+F5292</f>
        <v>9371651000</v>
      </c>
      <c r="G5283" s="381">
        <f t="shared" ref="G5283:G5296" si="329">100*(F5283/E5283)</f>
        <v>97.115554404145072</v>
      </c>
      <c r="H5283" s="563">
        <v>100</v>
      </c>
      <c r="I5283" s="121"/>
    </row>
    <row r="5284" spans="3:9" s="115" customFormat="1" ht="16.5" hidden="1" customHeight="1" x14ac:dyDescent="0.25">
      <c r="C5284" s="222"/>
      <c r="D5284" s="552" t="s">
        <v>486</v>
      </c>
      <c r="E5284" s="348">
        <f>+E5285+E5286</f>
        <v>950000000</v>
      </c>
      <c r="F5284" s="348">
        <f>+F5285+F5286</f>
        <v>899456000</v>
      </c>
      <c r="G5284" s="381">
        <f t="shared" si="329"/>
        <v>94.679578947368427</v>
      </c>
      <c r="H5284" s="563">
        <f>SUM(H5285:H5286)/2</f>
        <v>100</v>
      </c>
      <c r="I5284" s="121"/>
    </row>
    <row r="5285" spans="3:9" ht="16.5" hidden="1" customHeight="1" x14ac:dyDescent="0.25">
      <c r="C5285" s="222"/>
      <c r="D5285" s="549" t="s">
        <v>3728</v>
      </c>
      <c r="E5285" s="349">
        <v>500000000</v>
      </c>
      <c r="F5285" s="349">
        <v>451956000</v>
      </c>
      <c r="G5285" s="382">
        <f t="shared" si="329"/>
        <v>90.391199999999998</v>
      </c>
      <c r="H5285" s="565">
        <v>100</v>
      </c>
      <c r="I5285" s="111"/>
    </row>
    <row r="5286" spans="3:9" ht="16.5" hidden="1" customHeight="1" x14ac:dyDescent="0.25">
      <c r="C5286" s="222"/>
      <c r="D5286" s="549" t="s">
        <v>3729</v>
      </c>
      <c r="E5286" s="349">
        <v>450000000</v>
      </c>
      <c r="F5286" s="349">
        <v>447500000</v>
      </c>
      <c r="G5286" s="382">
        <f t="shared" si="329"/>
        <v>99.444444444444443</v>
      </c>
      <c r="H5286" s="565">
        <v>100</v>
      </c>
      <c r="I5286" s="111"/>
    </row>
    <row r="5287" spans="3:9" s="115" customFormat="1" ht="16.5" hidden="1" customHeight="1" x14ac:dyDescent="0.25">
      <c r="C5287" s="222"/>
      <c r="D5287" s="552" t="s">
        <v>1433</v>
      </c>
      <c r="E5287" s="348">
        <f>+E5288+E5289+E5290+E5291</f>
        <v>4500000000</v>
      </c>
      <c r="F5287" s="348">
        <f>+F5288+F5289+F5290+F5291</f>
        <v>4447022000</v>
      </c>
      <c r="G5287" s="381">
        <f t="shared" si="329"/>
        <v>98.822711111111104</v>
      </c>
      <c r="H5287" s="563">
        <f>SUM(H5288:H5291)/4</f>
        <v>100</v>
      </c>
      <c r="I5287" s="121"/>
    </row>
    <row r="5288" spans="3:9" s="115" customFormat="1" ht="16.5" hidden="1" customHeight="1" x14ac:dyDescent="0.25">
      <c r="C5288" s="222"/>
      <c r="D5288" s="549" t="s">
        <v>3730</v>
      </c>
      <c r="E5288" s="349">
        <v>1000000000</v>
      </c>
      <c r="F5288" s="349">
        <v>997448000</v>
      </c>
      <c r="G5288" s="382">
        <f t="shared" si="329"/>
        <v>99.744799999999998</v>
      </c>
      <c r="H5288" s="565">
        <v>100</v>
      </c>
      <c r="I5288" s="121"/>
    </row>
    <row r="5289" spans="3:9" ht="16.5" hidden="1" customHeight="1" x14ac:dyDescent="0.25">
      <c r="C5289" s="222"/>
      <c r="D5289" s="549" t="s">
        <v>3731</v>
      </c>
      <c r="E5289" s="349">
        <v>1000000000</v>
      </c>
      <c r="F5289" s="349">
        <v>981239000</v>
      </c>
      <c r="G5289" s="382">
        <f t="shared" si="329"/>
        <v>98.123899999999992</v>
      </c>
      <c r="H5289" s="565">
        <v>100</v>
      </c>
      <c r="I5289" s="111"/>
    </row>
    <row r="5290" spans="3:9" s="115" customFormat="1" ht="16.5" hidden="1" customHeight="1" x14ac:dyDescent="0.25">
      <c r="C5290" s="222"/>
      <c r="D5290" s="549" t="s">
        <v>3732</v>
      </c>
      <c r="E5290" s="349">
        <v>500000000</v>
      </c>
      <c r="F5290" s="349">
        <v>498680000</v>
      </c>
      <c r="G5290" s="382">
        <f t="shared" si="329"/>
        <v>99.736000000000004</v>
      </c>
      <c r="H5290" s="565">
        <v>100</v>
      </c>
      <c r="I5290" s="121"/>
    </row>
    <row r="5291" spans="3:9" ht="16.5" hidden="1" customHeight="1" x14ac:dyDescent="0.25">
      <c r="C5291" s="222"/>
      <c r="D5291" s="549" t="s">
        <v>3733</v>
      </c>
      <c r="E5291" s="349">
        <v>2000000000</v>
      </c>
      <c r="F5291" s="349">
        <v>1969655000</v>
      </c>
      <c r="G5291" s="382">
        <f t="shared" si="329"/>
        <v>98.482749999999996</v>
      </c>
      <c r="H5291" s="565">
        <v>100</v>
      </c>
      <c r="I5291" s="111"/>
    </row>
    <row r="5292" spans="3:9" s="115" customFormat="1" ht="16.5" hidden="1" customHeight="1" x14ac:dyDescent="0.25">
      <c r="C5292" s="222"/>
      <c r="D5292" s="552" t="s">
        <v>496</v>
      </c>
      <c r="E5292" s="348">
        <f>+E5293+E5294+E5295+E5296</f>
        <v>4200000000</v>
      </c>
      <c r="F5292" s="348">
        <f>+F5293+F5294+F5295+F5296</f>
        <v>4025173000</v>
      </c>
      <c r="G5292" s="381">
        <f t="shared" si="329"/>
        <v>95.837452380952385</v>
      </c>
      <c r="H5292" s="563">
        <f>SUM(H5293:H5296)/4</f>
        <v>100</v>
      </c>
      <c r="I5292" s="121"/>
    </row>
    <row r="5293" spans="3:9" ht="16.5" hidden="1" customHeight="1" x14ac:dyDescent="0.25">
      <c r="C5293" s="222"/>
      <c r="D5293" s="549" t="s">
        <v>3734</v>
      </c>
      <c r="E5293" s="349">
        <v>600000000</v>
      </c>
      <c r="F5293" s="349">
        <v>570845000</v>
      </c>
      <c r="G5293" s="382">
        <f t="shared" si="329"/>
        <v>95.140833333333333</v>
      </c>
      <c r="H5293" s="565">
        <v>100</v>
      </c>
      <c r="I5293" s="111"/>
    </row>
    <row r="5294" spans="3:9" ht="16.5" hidden="1" customHeight="1" x14ac:dyDescent="0.25">
      <c r="C5294" s="222"/>
      <c r="D5294" s="549" t="s">
        <v>3735</v>
      </c>
      <c r="E5294" s="349">
        <v>1000000000</v>
      </c>
      <c r="F5294" s="349">
        <v>917588000</v>
      </c>
      <c r="G5294" s="382">
        <f t="shared" si="329"/>
        <v>91.758799999999994</v>
      </c>
      <c r="H5294" s="565">
        <v>100</v>
      </c>
      <c r="I5294" s="111"/>
    </row>
    <row r="5295" spans="3:9" ht="16.5" hidden="1" customHeight="1" x14ac:dyDescent="0.25">
      <c r="C5295" s="222"/>
      <c r="D5295" s="549" t="s">
        <v>3736</v>
      </c>
      <c r="E5295" s="349">
        <v>2000000000</v>
      </c>
      <c r="F5295" s="349">
        <v>1968640000</v>
      </c>
      <c r="G5295" s="382">
        <f t="shared" si="329"/>
        <v>98.432000000000002</v>
      </c>
      <c r="H5295" s="565">
        <v>100</v>
      </c>
      <c r="I5295" s="111"/>
    </row>
    <row r="5296" spans="3:9" ht="16.5" hidden="1" customHeight="1" x14ac:dyDescent="0.25">
      <c r="C5296" s="222"/>
      <c r="D5296" s="549" t="s">
        <v>3737</v>
      </c>
      <c r="E5296" s="349">
        <v>600000000</v>
      </c>
      <c r="F5296" s="349">
        <v>568100000</v>
      </c>
      <c r="G5296" s="382">
        <f t="shared" si="329"/>
        <v>94.683333333333337</v>
      </c>
      <c r="H5296" s="565">
        <v>100</v>
      </c>
      <c r="I5296" s="111"/>
    </row>
    <row r="5297" spans="3:9" ht="16.5" hidden="1" customHeight="1" x14ac:dyDescent="0.25">
      <c r="C5297" s="222"/>
      <c r="D5297" s="549"/>
      <c r="E5297" s="349"/>
      <c r="F5297" s="349"/>
      <c r="G5297" s="382"/>
      <c r="H5297" s="565"/>
      <c r="I5297" s="111"/>
    </row>
    <row r="5298" spans="3:9" s="115" customFormat="1" ht="16.5" hidden="1" customHeight="1" x14ac:dyDescent="0.25">
      <c r="C5298" s="222"/>
      <c r="D5298" s="552" t="s">
        <v>3738</v>
      </c>
      <c r="E5298" s="348">
        <f>+E5299+E5301</f>
        <v>2922884000</v>
      </c>
      <c r="F5298" s="348">
        <f>+F5299+F5301</f>
        <v>2638869200</v>
      </c>
      <c r="G5298" s="381">
        <f>100*(F5298/E5298)</f>
        <v>90.283062892677236</v>
      </c>
      <c r="H5298" s="563">
        <v>100</v>
      </c>
      <c r="I5298" s="121"/>
    </row>
    <row r="5299" spans="3:9" s="115" customFormat="1" ht="18.75" hidden="1" customHeight="1" x14ac:dyDescent="0.25">
      <c r="C5299" s="222"/>
      <c r="D5299" s="552" t="s">
        <v>275</v>
      </c>
      <c r="E5299" s="348">
        <f>+E5300</f>
        <v>800000000</v>
      </c>
      <c r="F5299" s="348">
        <f>+F5300</f>
        <v>794330000</v>
      </c>
      <c r="G5299" s="381">
        <f>100*(F5299/E5299)</f>
        <v>99.291249999999991</v>
      </c>
      <c r="H5299" s="563">
        <f>+H5300</f>
        <v>100</v>
      </c>
      <c r="I5299" s="121"/>
    </row>
    <row r="5300" spans="3:9" ht="16.5" hidden="1" customHeight="1" x14ac:dyDescent="0.25">
      <c r="C5300" s="222"/>
      <c r="D5300" s="549" t="s">
        <v>3213</v>
      </c>
      <c r="E5300" s="349">
        <v>800000000</v>
      </c>
      <c r="F5300" s="349">
        <v>794330000</v>
      </c>
      <c r="G5300" s="382">
        <f>100*(F5300/E5300)</f>
        <v>99.291249999999991</v>
      </c>
      <c r="H5300" s="565">
        <v>100</v>
      </c>
      <c r="I5300" s="111"/>
    </row>
    <row r="5301" spans="3:9" s="115" customFormat="1" ht="16.5" hidden="1" customHeight="1" x14ac:dyDescent="0.25">
      <c r="C5301" s="222"/>
      <c r="D5301" s="552" t="s">
        <v>1671</v>
      </c>
      <c r="E5301" s="348">
        <f>+E5302+E5303+E5304+E5305+E5306</f>
        <v>2122884000</v>
      </c>
      <c r="F5301" s="348">
        <f>+F5302+F5303+F5304+F5305</f>
        <v>1844539200</v>
      </c>
      <c r="G5301" s="381">
        <f>+F5301/E5301*100</f>
        <v>86.888365073174043</v>
      </c>
      <c r="H5301" s="563">
        <f>(H5302+H5303+H5304+H5305)/4</f>
        <v>100</v>
      </c>
      <c r="I5301" s="121"/>
    </row>
    <row r="5302" spans="3:9" s="115" customFormat="1" ht="16.5" hidden="1" customHeight="1" x14ac:dyDescent="0.25">
      <c r="C5302" s="222"/>
      <c r="D5302" s="549" t="s">
        <v>3739</v>
      </c>
      <c r="E5302" s="349">
        <v>572884000</v>
      </c>
      <c r="F5302" s="349">
        <v>546209200</v>
      </c>
      <c r="G5302" s="382">
        <f>100*(F5302/E5302)</f>
        <v>95.343769419289075</v>
      </c>
      <c r="H5302" s="565">
        <v>100</v>
      </c>
      <c r="I5302" s="121"/>
    </row>
    <row r="5303" spans="3:9" s="115" customFormat="1" ht="16.5" hidden="1" customHeight="1" x14ac:dyDescent="0.25">
      <c r="C5303" s="222"/>
      <c r="D5303" s="549" t="s">
        <v>3740</v>
      </c>
      <c r="E5303" s="349">
        <v>550000000</v>
      </c>
      <c r="F5303" s="349">
        <v>505170000</v>
      </c>
      <c r="G5303" s="382">
        <f>100*(F5303/E5303)</f>
        <v>91.849090909090918</v>
      </c>
      <c r="H5303" s="565">
        <v>100</v>
      </c>
      <c r="I5303" s="121"/>
    </row>
    <row r="5304" spans="3:9" ht="16.5" hidden="1" customHeight="1" x14ac:dyDescent="0.25">
      <c r="C5304" s="222"/>
      <c r="D5304" s="549" t="s">
        <v>3741</v>
      </c>
      <c r="E5304" s="349">
        <v>500000000</v>
      </c>
      <c r="F5304" s="349">
        <v>483600000</v>
      </c>
      <c r="G5304" s="382">
        <f>100*(F5304/E5304)</f>
        <v>96.72</v>
      </c>
      <c r="H5304" s="565">
        <v>100</v>
      </c>
      <c r="I5304" s="111"/>
    </row>
    <row r="5305" spans="3:9" ht="16.5" hidden="1" customHeight="1" x14ac:dyDescent="0.25">
      <c r="C5305" s="222"/>
      <c r="D5305" s="549" t="s">
        <v>3742</v>
      </c>
      <c r="E5305" s="349">
        <v>350000000</v>
      </c>
      <c r="F5305" s="349">
        <v>309560000</v>
      </c>
      <c r="G5305" s="382">
        <f>100*(F5305/E5305)</f>
        <v>88.445714285714288</v>
      </c>
      <c r="H5305" s="565">
        <v>100</v>
      </c>
      <c r="I5305" s="111"/>
    </row>
    <row r="5306" spans="3:9" ht="16.5" hidden="1" customHeight="1" x14ac:dyDescent="0.25">
      <c r="C5306" s="222"/>
      <c r="D5306" s="549" t="s">
        <v>3743</v>
      </c>
      <c r="E5306" s="349">
        <v>150000000</v>
      </c>
      <c r="F5306" s="349">
        <v>0</v>
      </c>
      <c r="G5306" s="382">
        <f>100*(F5306/E5306)</f>
        <v>0</v>
      </c>
      <c r="H5306" s="565" t="s">
        <v>3682</v>
      </c>
      <c r="I5306" s="111"/>
    </row>
    <row r="5307" spans="3:9" s="115" customFormat="1" ht="16.5" hidden="1" customHeight="1" x14ac:dyDescent="0.25">
      <c r="C5307" s="222"/>
      <c r="D5307" s="549"/>
      <c r="E5307" s="349"/>
      <c r="F5307" s="349"/>
      <c r="G5307" s="382"/>
      <c r="H5307" s="565"/>
      <c r="I5307" s="121"/>
    </row>
    <row r="5308" spans="3:9" s="115" customFormat="1" ht="18.75" hidden="1" customHeight="1" x14ac:dyDescent="0.25">
      <c r="C5308" s="222"/>
      <c r="D5308" s="552" t="s">
        <v>624</v>
      </c>
      <c r="E5308" s="348">
        <f>E5310</f>
        <v>388800000</v>
      </c>
      <c r="F5308" s="348"/>
      <c r="G5308" s="381"/>
      <c r="H5308" s="563">
        <f>+H5309</f>
        <v>0</v>
      </c>
      <c r="I5308" s="121"/>
    </row>
    <row r="5309" spans="3:9" s="115" customFormat="1" ht="16.5" hidden="1" customHeight="1" x14ac:dyDescent="0.25">
      <c r="C5309" s="222"/>
      <c r="D5309" s="552" t="s">
        <v>789</v>
      </c>
      <c r="E5309" s="348"/>
      <c r="F5309" s="348"/>
      <c r="G5309" s="381"/>
      <c r="H5309" s="563">
        <f>+H5310</f>
        <v>0</v>
      </c>
      <c r="I5309" s="121"/>
    </row>
    <row r="5310" spans="3:9" ht="16.5" hidden="1" customHeight="1" x14ac:dyDescent="0.25">
      <c r="C5310" s="222"/>
      <c r="D5310" s="549" t="s">
        <v>3744</v>
      </c>
      <c r="E5310" s="349">
        <v>388800000</v>
      </c>
      <c r="F5310" s="349"/>
      <c r="G5310" s="382"/>
      <c r="H5310" s="565"/>
      <c r="I5310" s="111"/>
    </row>
    <row r="5311" spans="3:9" ht="16.5" hidden="1" customHeight="1" x14ac:dyDescent="0.25">
      <c r="C5311" s="222"/>
      <c r="D5311" s="550"/>
      <c r="E5311" s="349"/>
      <c r="F5311" s="349"/>
      <c r="G5311" s="382"/>
      <c r="H5311" s="565"/>
      <c r="I5311" s="111"/>
    </row>
    <row r="5312" spans="3:9" s="115" customFormat="1" ht="16.5" hidden="1" customHeight="1" x14ac:dyDescent="0.25">
      <c r="C5312" s="222"/>
      <c r="D5312" s="552" t="s">
        <v>3745</v>
      </c>
      <c r="E5312" s="348">
        <f>+E5313</f>
        <v>1571030520</v>
      </c>
      <c r="F5312" s="348">
        <f>SUM(F5314:F5315)</f>
        <v>1552583395</v>
      </c>
      <c r="G5312" s="381">
        <f>100*(F5312/E5312)</f>
        <v>98.825794612825206</v>
      </c>
      <c r="H5312" s="563">
        <v>100</v>
      </c>
      <c r="I5312" s="121"/>
    </row>
    <row r="5313" spans="3:9" s="115" customFormat="1" ht="16.5" hidden="1" customHeight="1" x14ac:dyDescent="0.25">
      <c r="C5313" s="222"/>
      <c r="D5313" s="552" t="s">
        <v>792</v>
      </c>
      <c r="E5313" s="350">
        <f>+E5314+E5315</f>
        <v>1571030520</v>
      </c>
      <c r="F5313" s="348">
        <f>+F5314+F5315</f>
        <v>1552583395</v>
      </c>
      <c r="G5313" s="381">
        <f>100*(F5313/E5313)</f>
        <v>98.825794612825206</v>
      </c>
      <c r="H5313" s="563">
        <f>SUM(H5314:H5315)/2</f>
        <v>100</v>
      </c>
      <c r="I5313" s="121"/>
    </row>
    <row r="5314" spans="3:9" ht="16.5" hidden="1" customHeight="1" x14ac:dyDescent="0.25">
      <c r="C5314" s="222"/>
      <c r="D5314" s="549" t="s">
        <v>3746</v>
      </c>
      <c r="E5314" s="349">
        <v>815373886</v>
      </c>
      <c r="F5314" s="349">
        <v>807105760</v>
      </c>
      <c r="G5314" s="382">
        <f>100*(F5314/E5314)</f>
        <v>98.985971203890131</v>
      </c>
      <c r="H5314" s="565">
        <v>100</v>
      </c>
      <c r="I5314" s="111"/>
    </row>
    <row r="5315" spans="3:9" ht="16.5" hidden="1" customHeight="1" x14ac:dyDescent="0.25">
      <c r="C5315" s="222"/>
      <c r="D5315" s="549" t="s">
        <v>3747</v>
      </c>
      <c r="E5315" s="349">
        <v>755656634</v>
      </c>
      <c r="F5315" s="349">
        <v>745477635</v>
      </c>
      <c r="G5315" s="382">
        <f>100*(F5315/E5315)</f>
        <v>98.652959751558271</v>
      </c>
      <c r="H5315" s="565">
        <v>100</v>
      </c>
      <c r="I5315" s="111"/>
    </row>
    <row r="5316" spans="3:9" ht="16.5" hidden="1" customHeight="1" x14ac:dyDescent="0.25">
      <c r="C5316" s="222"/>
      <c r="D5316" s="550"/>
      <c r="E5316" s="349"/>
      <c r="F5316" s="349"/>
      <c r="G5316" s="382"/>
      <c r="H5316" s="565"/>
      <c r="I5316" s="111"/>
    </row>
    <row r="5317" spans="3:9" s="115" customFormat="1" ht="16.5" hidden="1" customHeight="1" x14ac:dyDescent="0.25">
      <c r="C5317" s="222"/>
      <c r="D5317" s="552" t="s">
        <v>3748</v>
      </c>
      <c r="E5317" s="348">
        <f>+E5318</f>
        <v>250000000</v>
      </c>
      <c r="F5317" s="348">
        <f>+F5318</f>
        <v>168000694</v>
      </c>
      <c r="G5317" s="381">
        <f>100*(F5317/E5317)</f>
        <v>67.200277600000007</v>
      </c>
      <c r="H5317" s="563">
        <v>100</v>
      </c>
      <c r="I5317" s="121"/>
    </row>
    <row r="5318" spans="3:9" s="115" customFormat="1" ht="16.5" hidden="1" customHeight="1" x14ac:dyDescent="0.25">
      <c r="C5318" s="222"/>
      <c r="D5318" s="552" t="s">
        <v>3749</v>
      </c>
      <c r="E5318" s="348">
        <f>+E5319</f>
        <v>250000000</v>
      </c>
      <c r="F5318" s="348">
        <f>+F5319</f>
        <v>168000694</v>
      </c>
      <c r="G5318" s="381">
        <f>100*(F5318/E5318)</f>
        <v>67.200277600000007</v>
      </c>
      <c r="H5318" s="563">
        <f>+H5319</f>
        <v>100</v>
      </c>
      <c r="I5318" s="121"/>
    </row>
    <row r="5319" spans="3:9" ht="16.5" hidden="1" customHeight="1" x14ac:dyDescent="0.25">
      <c r="C5319" s="222"/>
      <c r="D5319" s="549" t="s">
        <v>3750</v>
      </c>
      <c r="E5319" s="349">
        <v>250000000</v>
      </c>
      <c r="F5319" s="349">
        <v>168000694</v>
      </c>
      <c r="G5319" s="382">
        <f>100*(F5319/E5319)</f>
        <v>67.200277600000007</v>
      </c>
      <c r="H5319" s="565">
        <v>100</v>
      </c>
      <c r="I5319" s="111"/>
    </row>
    <row r="5320" spans="3:9" ht="16.5" hidden="1" customHeight="1" x14ac:dyDescent="0.25">
      <c r="C5320" s="222"/>
      <c r="D5320" s="549"/>
      <c r="E5320" s="349"/>
      <c r="F5320" s="349"/>
      <c r="G5320" s="382"/>
      <c r="H5320" s="565"/>
      <c r="I5320" s="111"/>
    </row>
    <row r="5321" spans="3:9" s="115" customFormat="1" ht="16.5" hidden="1" customHeight="1" x14ac:dyDescent="0.25">
      <c r="C5321" s="222"/>
      <c r="D5321" s="552" t="s">
        <v>3751</v>
      </c>
      <c r="E5321" s="348">
        <f>+E5322+E5329</f>
        <v>8631700000</v>
      </c>
      <c r="F5321" s="348">
        <f>+F5322+F5329</f>
        <v>8439700000</v>
      </c>
      <c r="G5321" s="381">
        <f t="shared" ref="G5321:G5339" si="330">+F5321/E5321*100</f>
        <v>97.7756409513769</v>
      </c>
      <c r="H5321" s="563">
        <f>(H5322+H5329)/2</f>
        <v>100</v>
      </c>
      <c r="I5321" s="121"/>
    </row>
    <row r="5322" spans="3:9" s="115" customFormat="1" ht="16.5" hidden="1" customHeight="1" x14ac:dyDescent="0.25">
      <c r="C5322" s="222"/>
      <c r="D5322" s="552" t="s">
        <v>3752</v>
      </c>
      <c r="E5322" s="348">
        <f>+E5323+E5326</f>
        <v>800000000</v>
      </c>
      <c r="F5322" s="348">
        <f>+F5323+F5326</f>
        <v>800000000</v>
      </c>
      <c r="G5322" s="381">
        <f t="shared" si="330"/>
        <v>100</v>
      </c>
      <c r="H5322" s="563">
        <f>(H5323+H5326)/2</f>
        <v>100</v>
      </c>
      <c r="I5322" s="121"/>
    </row>
    <row r="5323" spans="3:9" s="115" customFormat="1" ht="16.5" hidden="1" customHeight="1" x14ac:dyDescent="0.25">
      <c r="C5323" s="222"/>
      <c r="D5323" s="552" t="s">
        <v>3753</v>
      </c>
      <c r="E5323" s="348">
        <f>+E5324+E5325</f>
        <v>400000000</v>
      </c>
      <c r="F5323" s="348">
        <f>+F5324+F5325</f>
        <v>400000000</v>
      </c>
      <c r="G5323" s="381">
        <f t="shared" si="330"/>
        <v>100</v>
      </c>
      <c r="H5323" s="563">
        <f>SUM(H5324:H5325)/2</f>
        <v>100</v>
      </c>
      <c r="I5323" s="121"/>
    </row>
    <row r="5324" spans="3:9" ht="16.5" hidden="1" customHeight="1" x14ac:dyDescent="0.25">
      <c r="C5324" s="222"/>
      <c r="D5324" s="553" t="s">
        <v>3754</v>
      </c>
      <c r="E5324" s="349">
        <v>200000000</v>
      </c>
      <c r="F5324" s="349">
        <v>200000000</v>
      </c>
      <c r="G5324" s="382">
        <f t="shared" si="330"/>
        <v>100</v>
      </c>
      <c r="H5324" s="565">
        <v>100</v>
      </c>
      <c r="I5324" s="111"/>
    </row>
    <row r="5325" spans="3:9" ht="16.5" hidden="1" customHeight="1" x14ac:dyDescent="0.25">
      <c r="C5325" s="222"/>
      <c r="D5325" s="553" t="s">
        <v>3755</v>
      </c>
      <c r="E5325" s="349">
        <v>200000000</v>
      </c>
      <c r="F5325" s="349">
        <v>200000000</v>
      </c>
      <c r="G5325" s="382">
        <f t="shared" si="330"/>
        <v>100</v>
      </c>
      <c r="H5325" s="565">
        <v>100</v>
      </c>
      <c r="I5325" s="111"/>
    </row>
    <row r="5326" spans="3:9" s="115" customFormat="1" ht="16.5" hidden="1" customHeight="1" x14ac:dyDescent="0.25">
      <c r="C5326" s="222"/>
      <c r="D5326" s="552" t="s">
        <v>3756</v>
      </c>
      <c r="E5326" s="348">
        <f>+E5327+E5328</f>
        <v>400000000</v>
      </c>
      <c r="F5326" s="348">
        <f>+F5327+F5328</f>
        <v>400000000</v>
      </c>
      <c r="G5326" s="381">
        <f t="shared" si="330"/>
        <v>100</v>
      </c>
      <c r="H5326" s="563">
        <f>+H5327</f>
        <v>100</v>
      </c>
      <c r="I5326" s="121"/>
    </row>
    <row r="5327" spans="3:9" ht="16.5" hidden="1" customHeight="1" x14ac:dyDescent="0.25">
      <c r="C5327" s="222"/>
      <c r="D5327" s="553" t="s">
        <v>3757</v>
      </c>
      <c r="E5327" s="349">
        <v>200000000</v>
      </c>
      <c r="F5327" s="349">
        <v>200000000</v>
      </c>
      <c r="G5327" s="382">
        <f t="shared" si="330"/>
        <v>100</v>
      </c>
      <c r="H5327" s="565">
        <v>100</v>
      </c>
      <c r="I5327" s="111"/>
    </row>
    <row r="5328" spans="3:9" ht="16.5" hidden="1" customHeight="1" x14ac:dyDescent="0.25">
      <c r="C5328" s="222"/>
      <c r="D5328" s="553" t="s">
        <v>3758</v>
      </c>
      <c r="E5328" s="349">
        <v>200000000</v>
      </c>
      <c r="F5328" s="349">
        <v>200000000</v>
      </c>
      <c r="G5328" s="382">
        <f t="shared" si="330"/>
        <v>100</v>
      </c>
      <c r="H5328" s="565">
        <v>100</v>
      </c>
      <c r="I5328" s="111"/>
    </row>
    <row r="5329" spans="3:9" s="115" customFormat="1" ht="16.5" hidden="1" customHeight="1" x14ac:dyDescent="0.25">
      <c r="C5329" s="222"/>
      <c r="D5329" s="552" t="s">
        <v>3759</v>
      </c>
      <c r="E5329" s="351">
        <f>+E5330+E5332</f>
        <v>7831700000</v>
      </c>
      <c r="F5329" s="352">
        <f>+F5330+F5332</f>
        <v>7639700000</v>
      </c>
      <c r="G5329" s="381">
        <f t="shared" si="330"/>
        <v>97.54842499074276</v>
      </c>
      <c r="H5329" s="563">
        <f>(H5330+H5332)/2</f>
        <v>100</v>
      </c>
      <c r="I5329" s="121"/>
    </row>
    <row r="5330" spans="3:9" s="115" customFormat="1" ht="16.5" hidden="1" customHeight="1" x14ac:dyDescent="0.25">
      <c r="C5330" s="222"/>
      <c r="D5330" s="552" t="s">
        <v>3239</v>
      </c>
      <c r="E5330" s="348">
        <f>+E5331</f>
        <v>3500000000</v>
      </c>
      <c r="F5330" s="348">
        <f>+F5331</f>
        <v>3500000000</v>
      </c>
      <c r="G5330" s="381">
        <f t="shared" si="330"/>
        <v>100</v>
      </c>
      <c r="H5330" s="563">
        <f>+H5331</f>
        <v>100</v>
      </c>
      <c r="I5330" s="121"/>
    </row>
    <row r="5331" spans="3:9" ht="16.5" hidden="1" customHeight="1" x14ac:dyDescent="0.25">
      <c r="C5331" s="222"/>
      <c r="D5331" s="549" t="s">
        <v>3760</v>
      </c>
      <c r="E5331" s="349">
        <v>3500000000</v>
      </c>
      <c r="F5331" s="349">
        <v>3500000000</v>
      </c>
      <c r="G5331" s="382">
        <f t="shared" si="330"/>
        <v>100</v>
      </c>
      <c r="H5331" s="565">
        <v>100</v>
      </c>
      <c r="I5331" s="111"/>
    </row>
    <row r="5332" spans="3:9" s="115" customFormat="1" ht="16.5" hidden="1" customHeight="1" x14ac:dyDescent="0.25">
      <c r="C5332" s="222"/>
      <c r="D5332" s="552" t="s">
        <v>3761</v>
      </c>
      <c r="E5332" s="348">
        <f>+E5333+E5334+E5335+E5336+E5337+E5338+E5339</f>
        <v>4331700000</v>
      </c>
      <c r="F5332" s="348">
        <f>+F5333+F5334+F5335+F5336+F5337+F5339+F5338</f>
        <v>4139700000</v>
      </c>
      <c r="G5332" s="381">
        <f t="shared" si="330"/>
        <v>95.567560080337984</v>
      </c>
      <c r="H5332" s="563">
        <f>+H5333</f>
        <v>100</v>
      </c>
      <c r="I5332" s="121"/>
    </row>
    <row r="5333" spans="3:9" ht="16.5" hidden="1" customHeight="1" x14ac:dyDescent="0.25">
      <c r="C5333" s="222"/>
      <c r="D5333" s="549" t="s">
        <v>3762</v>
      </c>
      <c r="E5333" s="349">
        <v>840000000</v>
      </c>
      <c r="F5333" s="349">
        <v>840000000</v>
      </c>
      <c r="G5333" s="382">
        <f t="shared" si="330"/>
        <v>100</v>
      </c>
      <c r="H5333" s="565">
        <v>100</v>
      </c>
      <c r="I5333" s="111"/>
    </row>
    <row r="5334" spans="3:9" ht="16.5" hidden="1" customHeight="1" x14ac:dyDescent="0.25">
      <c r="C5334" s="222"/>
      <c r="D5334" s="549" t="s">
        <v>3763</v>
      </c>
      <c r="E5334" s="349">
        <v>720000000</v>
      </c>
      <c r="F5334" s="349">
        <v>576000000</v>
      </c>
      <c r="G5334" s="382">
        <f t="shared" si="330"/>
        <v>80</v>
      </c>
      <c r="H5334" s="565">
        <v>100</v>
      </c>
      <c r="I5334" s="111"/>
    </row>
    <row r="5335" spans="3:9" ht="16.5" hidden="1" customHeight="1" x14ac:dyDescent="0.25">
      <c r="C5335" s="222"/>
      <c r="D5335" s="549" t="s">
        <v>3764</v>
      </c>
      <c r="E5335" s="349">
        <v>720000000</v>
      </c>
      <c r="F5335" s="349">
        <v>720000000</v>
      </c>
      <c r="G5335" s="382">
        <f t="shared" si="330"/>
        <v>100</v>
      </c>
      <c r="H5335" s="565">
        <v>100</v>
      </c>
      <c r="I5335" s="111"/>
    </row>
    <row r="5336" spans="3:9" ht="16.5" hidden="1" customHeight="1" x14ac:dyDescent="0.25">
      <c r="C5336" s="222"/>
      <c r="D5336" s="549" t="s">
        <v>3765</v>
      </c>
      <c r="E5336" s="349">
        <v>252000000</v>
      </c>
      <c r="F5336" s="349">
        <v>210000000</v>
      </c>
      <c r="G5336" s="382">
        <f t="shared" si="330"/>
        <v>83.333333333333343</v>
      </c>
      <c r="H5336" s="565">
        <v>100</v>
      </c>
      <c r="I5336" s="111"/>
    </row>
    <row r="5337" spans="3:9" ht="16.5" hidden="1" customHeight="1" x14ac:dyDescent="0.25">
      <c r="C5337" s="222"/>
      <c r="D5337" s="549" t="s">
        <v>3766</v>
      </c>
      <c r="E5337" s="349">
        <v>42000000</v>
      </c>
      <c r="F5337" s="349">
        <v>36000000</v>
      </c>
      <c r="G5337" s="382">
        <f t="shared" si="330"/>
        <v>85.714285714285708</v>
      </c>
      <c r="H5337" s="565">
        <v>100</v>
      </c>
      <c r="I5337" s="111"/>
    </row>
    <row r="5338" spans="3:9" ht="16.5" hidden="1" customHeight="1" x14ac:dyDescent="0.25">
      <c r="C5338" s="222"/>
      <c r="D5338" s="549" t="s">
        <v>3767</v>
      </c>
      <c r="E5338" s="349">
        <v>495000000</v>
      </c>
      <c r="F5338" s="349">
        <v>495000000</v>
      </c>
      <c r="G5338" s="382">
        <f t="shared" si="330"/>
        <v>100</v>
      </c>
      <c r="H5338" s="565">
        <v>100</v>
      </c>
      <c r="I5338" s="111"/>
    </row>
    <row r="5339" spans="3:9" ht="16.5" hidden="1" customHeight="1" x14ac:dyDescent="0.25">
      <c r="C5339" s="222"/>
      <c r="D5339" s="549" t="s">
        <v>3768</v>
      </c>
      <c r="E5339" s="349">
        <v>1262700000</v>
      </c>
      <c r="F5339" s="349">
        <v>1262700000</v>
      </c>
      <c r="G5339" s="382">
        <f t="shared" si="330"/>
        <v>100</v>
      </c>
      <c r="H5339" s="565">
        <v>100</v>
      </c>
      <c r="I5339" s="111"/>
    </row>
    <row r="5340" spans="3:9" ht="16.5" hidden="1" customHeight="1" x14ac:dyDescent="0.25">
      <c r="C5340" s="222"/>
      <c r="D5340" s="48"/>
      <c r="E5340" s="116"/>
      <c r="F5340" s="108"/>
      <c r="G5340" s="117"/>
      <c r="H5340" s="117"/>
      <c r="I5340" s="111"/>
    </row>
    <row r="5341" spans="3:9" s="115" customFormat="1" ht="16.5" customHeight="1" x14ac:dyDescent="0.25">
      <c r="C5341" s="222" t="s">
        <v>3769</v>
      </c>
      <c r="D5341" s="329" t="s">
        <v>3770</v>
      </c>
      <c r="E5341" s="168">
        <f>+E5342+E5382+E5409+E5413+E5428+E5437+E5451+E5457+E5471+E5480+E5484+E5489+E5496+E5502+E5508+E5513</f>
        <v>104235693000</v>
      </c>
      <c r="F5341" s="242">
        <f>+F5342+F5382+F5409+F5413+F5428+F5437+F5451+F5457+F5471+F5480+F5484+F5489+F5496+F5502+F5508+F5513</f>
        <v>103544627256</v>
      </c>
      <c r="G5341" s="333">
        <f t="shared" ref="G5341:G5380" si="331">F5341/E5341*100</f>
        <v>99.337016213822267</v>
      </c>
      <c r="H5341" s="333">
        <f>(H5342+H5382+H5409+H5413+H5428+H5437+H5451+H5457+H5471+H5480+H5484+H5489+H5502++H5496+H5508+H5513)/16</f>
        <v>100</v>
      </c>
      <c r="I5341" s="650"/>
    </row>
    <row r="5342" spans="3:9" s="115" customFormat="1" ht="16.5" hidden="1" customHeight="1" x14ac:dyDescent="0.25">
      <c r="C5342" s="222"/>
      <c r="D5342" s="48" t="s">
        <v>82</v>
      </c>
      <c r="E5342" s="112">
        <f>+E5343+E5349+E5364+E5376+E5379</f>
        <v>31270707900</v>
      </c>
      <c r="F5342" s="242">
        <f>F5343+F5349+F5364+F5376+F5379</f>
        <v>31224455900</v>
      </c>
      <c r="G5342" s="333">
        <f t="shared" si="331"/>
        <v>99.852091611907511</v>
      </c>
      <c r="H5342" s="333">
        <v>100</v>
      </c>
      <c r="I5342" s="121"/>
    </row>
    <row r="5343" spans="3:9" s="115" customFormat="1" ht="16.5" hidden="1" customHeight="1" x14ac:dyDescent="0.25">
      <c r="C5343" s="222"/>
      <c r="D5343" s="48" t="s">
        <v>797</v>
      </c>
      <c r="E5343" s="112">
        <f>SUM(E5344:E5348)</f>
        <v>2169950000</v>
      </c>
      <c r="F5343" s="242">
        <f>SUM(F5344:F5348)</f>
        <v>2158700000</v>
      </c>
      <c r="G5343" s="333">
        <f t="shared" si="331"/>
        <v>99.481554874536286</v>
      </c>
      <c r="H5343" s="333">
        <v>100</v>
      </c>
      <c r="I5343" s="121"/>
    </row>
    <row r="5344" spans="3:9" ht="16.5" hidden="1" customHeight="1" x14ac:dyDescent="0.25">
      <c r="C5344" s="222"/>
      <c r="D5344" s="111" t="s">
        <v>3771</v>
      </c>
      <c r="E5344" s="172">
        <v>420000000</v>
      </c>
      <c r="F5344" s="243">
        <f>140000000*3</f>
        <v>420000000</v>
      </c>
      <c r="G5344" s="379">
        <f t="shared" si="331"/>
        <v>100</v>
      </c>
      <c r="H5344" s="379">
        <v>100</v>
      </c>
      <c r="I5344" s="111"/>
    </row>
    <row r="5345" spans="3:9" ht="16.5" hidden="1" customHeight="1" x14ac:dyDescent="0.25">
      <c r="C5345" s="222"/>
      <c r="D5345" s="111" t="s">
        <v>3772</v>
      </c>
      <c r="E5345" s="172">
        <v>434000000</v>
      </c>
      <c r="F5345" s="243">
        <v>433200000</v>
      </c>
      <c r="G5345" s="379">
        <f t="shared" si="331"/>
        <v>99.815668202764968</v>
      </c>
      <c r="H5345" s="379">
        <v>100</v>
      </c>
      <c r="I5345" s="111"/>
    </row>
    <row r="5346" spans="3:9" ht="16.5" hidden="1" customHeight="1" x14ac:dyDescent="0.25">
      <c r="C5346" s="222"/>
      <c r="D5346" s="111" t="s">
        <v>3773</v>
      </c>
      <c r="E5346" s="172">
        <v>75000000</v>
      </c>
      <c r="F5346" s="243">
        <v>75000000</v>
      </c>
      <c r="G5346" s="379">
        <f t="shared" si="331"/>
        <v>100</v>
      </c>
      <c r="H5346" s="379">
        <v>100</v>
      </c>
      <c r="I5346" s="111"/>
    </row>
    <row r="5347" spans="3:9" ht="18.75" hidden="1" customHeight="1" x14ac:dyDescent="0.25">
      <c r="C5347" s="222"/>
      <c r="D5347" s="118" t="s">
        <v>3774</v>
      </c>
      <c r="E5347" s="172">
        <v>864000000</v>
      </c>
      <c r="F5347" s="243">
        <v>855000000</v>
      </c>
      <c r="G5347" s="379">
        <f t="shared" si="331"/>
        <v>98.958333333333343</v>
      </c>
      <c r="H5347" s="379">
        <v>100</v>
      </c>
      <c r="I5347" s="111"/>
    </row>
    <row r="5348" spans="3:9" ht="16.5" hidden="1" customHeight="1" x14ac:dyDescent="0.25">
      <c r="C5348" s="222"/>
      <c r="D5348" s="111" t="s">
        <v>3775</v>
      </c>
      <c r="E5348" s="172">
        <v>376950000</v>
      </c>
      <c r="F5348" s="243">
        <v>375500000</v>
      </c>
      <c r="G5348" s="379">
        <f t="shared" si="331"/>
        <v>99.615333598620509</v>
      </c>
      <c r="H5348" s="379">
        <v>100</v>
      </c>
      <c r="I5348" s="111"/>
    </row>
    <row r="5349" spans="3:9" s="115" customFormat="1" ht="16.5" hidden="1" customHeight="1" x14ac:dyDescent="0.25">
      <c r="C5349" s="222"/>
      <c r="D5349" s="48" t="s">
        <v>680</v>
      </c>
      <c r="E5349" s="112">
        <f>SUM(E5350:E5363)</f>
        <v>15392270000</v>
      </c>
      <c r="F5349" s="242">
        <f>SUM(F5350:F5363)</f>
        <v>15367718000</v>
      </c>
      <c r="G5349" s="333">
        <f t="shared" si="331"/>
        <v>99.840491363522077</v>
      </c>
      <c r="H5349" s="333">
        <v>100</v>
      </c>
      <c r="I5349" s="121"/>
    </row>
    <row r="5350" spans="3:9" ht="16.5" hidden="1" customHeight="1" x14ac:dyDescent="0.25">
      <c r="C5350" s="222"/>
      <c r="D5350" s="111" t="s">
        <v>3776</v>
      </c>
      <c r="E5350" s="172">
        <v>1200000000</v>
      </c>
      <c r="F5350" s="243">
        <v>1200000000</v>
      </c>
      <c r="G5350" s="379">
        <f t="shared" si="331"/>
        <v>100</v>
      </c>
      <c r="H5350" s="379">
        <v>100</v>
      </c>
      <c r="I5350" s="111"/>
    </row>
    <row r="5351" spans="3:9" ht="16.5" hidden="1" customHeight="1" x14ac:dyDescent="0.25">
      <c r="C5351" s="222"/>
      <c r="D5351" s="111" t="s">
        <v>3777</v>
      </c>
      <c r="E5351" s="172">
        <v>420000000</v>
      </c>
      <c r="F5351" s="243">
        <v>418800000</v>
      </c>
      <c r="G5351" s="379">
        <f t="shared" si="331"/>
        <v>99.714285714285708</v>
      </c>
      <c r="H5351" s="379">
        <v>100</v>
      </c>
      <c r="I5351" s="111"/>
    </row>
    <row r="5352" spans="3:9" ht="16.5" hidden="1" customHeight="1" x14ac:dyDescent="0.25">
      <c r="C5352" s="222"/>
      <c r="D5352" s="111" t="s">
        <v>3778</v>
      </c>
      <c r="E5352" s="172">
        <v>400000000</v>
      </c>
      <c r="F5352" s="243">
        <v>398000000</v>
      </c>
      <c r="G5352" s="379">
        <f t="shared" si="331"/>
        <v>99.5</v>
      </c>
      <c r="H5352" s="379">
        <v>100</v>
      </c>
      <c r="I5352" s="111"/>
    </row>
    <row r="5353" spans="3:9" ht="16.5" hidden="1" customHeight="1" x14ac:dyDescent="0.25">
      <c r="C5353" s="222"/>
      <c r="D5353" s="111" t="s">
        <v>3779</v>
      </c>
      <c r="E5353" s="172">
        <v>4523400000</v>
      </c>
      <c r="F5353" s="243">
        <v>4512248000</v>
      </c>
      <c r="G5353" s="379">
        <f t="shared" si="331"/>
        <v>99.753459786885969</v>
      </c>
      <c r="H5353" s="379">
        <v>100</v>
      </c>
      <c r="I5353" s="111"/>
    </row>
    <row r="5354" spans="3:9" ht="18.75" hidden="1" customHeight="1" x14ac:dyDescent="0.25">
      <c r="C5354" s="222"/>
      <c r="D5354" s="118" t="s">
        <v>3780</v>
      </c>
      <c r="E5354" s="172">
        <v>1690000000</v>
      </c>
      <c r="F5354" s="243">
        <v>1686700000</v>
      </c>
      <c r="G5354" s="379">
        <f t="shared" si="331"/>
        <v>99.804733727810643</v>
      </c>
      <c r="H5354" s="379">
        <v>100</v>
      </c>
      <c r="I5354" s="111"/>
    </row>
    <row r="5355" spans="3:9" ht="16.5" hidden="1" customHeight="1" x14ac:dyDescent="0.25">
      <c r="C5355" s="222"/>
      <c r="D5355" s="111" t="s">
        <v>3781</v>
      </c>
      <c r="E5355" s="172">
        <v>550000000</v>
      </c>
      <c r="F5355" s="243">
        <v>548900000</v>
      </c>
      <c r="G5355" s="379">
        <f t="shared" si="331"/>
        <v>99.8</v>
      </c>
      <c r="H5355" s="379">
        <v>100</v>
      </c>
      <c r="I5355" s="111"/>
    </row>
    <row r="5356" spans="3:9" ht="16.5" hidden="1" customHeight="1" x14ac:dyDescent="0.25">
      <c r="C5356" s="222"/>
      <c r="D5356" s="111" t="s">
        <v>3782</v>
      </c>
      <c r="E5356" s="172">
        <v>840000000</v>
      </c>
      <c r="F5356" s="243">
        <v>840000000</v>
      </c>
      <c r="G5356" s="379">
        <f t="shared" si="331"/>
        <v>100</v>
      </c>
      <c r="H5356" s="379">
        <v>100</v>
      </c>
      <c r="I5356" s="111"/>
    </row>
    <row r="5357" spans="3:9" ht="16.5" hidden="1" customHeight="1" x14ac:dyDescent="0.25">
      <c r="C5357" s="222"/>
      <c r="D5357" s="111" t="s">
        <v>938</v>
      </c>
      <c r="E5357" s="172">
        <v>825000000</v>
      </c>
      <c r="F5357" s="243">
        <v>825000000</v>
      </c>
      <c r="G5357" s="379">
        <f t="shared" si="331"/>
        <v>100</v>
      </c>
      <c r="H5357" s="379">
        <v>100</v>
      </c>
      <c r="I5357" s="111"/>
    </row>
    <row r="5358" spans="3:9" ht="16.5" hidden="1" customHeight="1" x14ac:dyDescent="0.25">
      <c r="C5358" s="222"/>
      <c r="D5358" s="111" t="s">
        <v>3783</v>
      </c>
      <c r="E5358" s="172">
        <v>200000000</v>
      </c>
      <c r="F5358" s="243">
        <v>199000000</v>
      </c>
      <c r="G5358" s="379">
        <f t="shared" si="331"/>
        <v>99.5</v>
      </c>
      <c r="H5358" s="379">
        <v>100</v>
      </c>
      <c r="I5358" s="111"/>
    </row>
    <row r="5359" spans="3:9" ht="39" hidden="1" customHeight="1" x14ac:dyDescent="0.25">
      <c r="C5359" s="222"/>
      <c r="D5359" s="118" t="s">
        <v>3784</v>
      </c>
      <c r="E5359" s="172">
        <v>720000000</v>
      </c>
      <c r="F5359" s="243">
        <v>716500000</v>
      </c>
      <c r="G5359" s="379">
        <f t="shared" si="331"/>
        <v>99.513888888888886</v>
      </c>
      <c r="H5359" s="379">
        <v>100</v>
      </c>
      <c r="I5359" s="111"/>
    </row>
    <row r="5360" spans="3:9" ht="39" hidden="1" customHeight="1" x14ac:dyDescent="0.25">
      <c r="C5360" s="222"/>
      <c r="D5360" s="118" t="s">
        <v>3785</v>
      </c>
      <c r="E5360" s="172">
        <v>1304000000</v>
      </c>
      <c r="F5360" s="243">
        <v>1304000000</v>
      </c>
      <c r="G5360" s="379">
        <f t="shared" si="331"/>
        <v>100</v>
      </c>
      <c r="H5360" s="379">
        <v>100</v>
      </c>
      <c r="I5360" s="111"/>
    </row>
    <row r="5361" spans="3:9" ht="18.75" hidden="1" customHeight="1" x14ac:dyDescent="0.25">
      <c r="C5361" s="222"/>
      <c r="D5361" s="111" t="s">
        <v>3786</v>
      </c>
      <c r="E5361" s="172">
        <v>250000000</v>
      </c>
      <c r="F5361" s="243">
        <v>250000000</v>
      </c>
      <c r="G5361" s="379">
        <f t="shared" si="331"/>
        <v>100</v>
      </c>
      <c r="H5361" s="379">
        <v>100</v>
      </c>
      <c r="I5361" s="111"/>
    </row>
    <row r="5362" spans="3:9" ht="18.75" hidden="1" customHeight="1" x14ac:dyDescent="0.25">
      <c r="C5362" s="222"/>
      <c r="D5362" s="118" t="s">
        <v>3787</v>
      </c>
      <c r="E5362" s="172">
        <v>1869870000</v>
      </c>
      <c r="F5362" s="243">
        <v>1868570000</v>
      </c>
      <c r="G5362" s="379">
        <f t="shared" si="331"/>
        <v>99.930476450234508</v>
      </c>
      <c r="H5362" s="379">
        <v>100</v>
      </c>
      <c r="I5362" s="111"/>
    </row>
    <row r="5363" spans="3:9" ht="16.5" hidden="1" customHeight="1" x14ac:dyDescent="0.25">
      <c r="C5363" s="222"/>
      <c r="D5363" s="111" t="s">
        <v>3788</v>
      </c>
      <c r="E5363" s="172">
        <v>600000000</v>
      </c>
      <c r="F5363" s="243">
        <v>600000000</v>
      </c>
      <c r="G5363" s="379">
        <f t="shared" si="331"/>
        <v>100</v>
      </c>
      <c r="H5363" s="379">
        <v>100</v>
      </c>
      <c r="I5363" s="111"/>
    </row>
    <row r="5364" spans="3:9" s="115" customFormat="1" ht="16.5" hidden="1" customHeight="1" x14ac:dyDescent="0.25">
      <c r="C5364" s="222"/>
      <c r="D5364" s="48" t="s">
        <v>693</v>
      </c>
      <c r="E5364" s="112">
        <f>SUM(E5365:E5375)</f>
        <v>5896000000</v>
      </c>
      <c r="F5364" s="242">
        <f>SUM(F5365:F5375)</f>
        <v>5885550000</v>
      </c>
      <c r="G5364" s="333">
        <f t="shared" si="331"/>
        <v>99.822761194029852</v>
      </c>
      <c r="H5364" s="333">
        <v>100</v>
      </c>
      <c r="I5364" s="121"/>
    </row>
    <row r="5365" spans="3:9" ht="16.5" hidden="1" customHeight="1" x14ac:dyDescent="0.25">
      <c r="C5365" s="222"/>
      <c r="D5365" s="111" t="s">
        <v>3789</v>
      </c>
      <c r="E5365" s="172">
        <v>300000000</v>
      </c>
      <c r="F5365" s="243">
        <v>300000000</v>
      </c>
      <c r="G5365" s="379">
        <f t="shared" si="331"/>
        <v>100</v>
      </c>
      <c r="H5365" s="379">
        <v>100</v>
      </c>
      <c r="I5365" s="111"/>
    </row>
    <row r="5366" spans="3:9" ht="16.5" hidden="1" customHeight="1" x14ac:dyDescent="0.25">
      <c r="C5366" s="222"/>
      <c r="D5366" s="111" t="s">
        <v>3790</v>
      </c>
      <c r="E5366" s="172">
        <v>1200000000</v>
      </c>
      <c r="F5366" s="243">
        <v>1196750000</v>
      </c>
      <c r="G5366" s="379">
        <f t="shared" si="331"/>
        <v>99.729166666666671</v>
      </c>
      <c r="H5366" s="379">
        <v>100</v>
      </c>
      <c r="I5366" s="111"/>
    </row>
    <row r="5367" spans="3:9" ht="16.5" hidden="1" customHeight="1" x14ac:dyDescent="0.25">
      <c r="C5367" s="222"/>
      <c r="D5367" s="111" t="s">
        <v>3791</v>
      </c>
      <c r="E5367" s="172">
        <v>1200000000</v>
      </c>
      <c r="F5367" s="243">
        <v>1200000000</v>
      </c>
      <c r="G5367" s="379">
        <f t="shared" si="331"/>
        <v>100</v>
      </c>
      <c r="H5367" s="379">
        <v>100</v>
      </c>
      <c r="I5367" s="111"/>
    </row>
    <row r="5368" spans="3:9" ht="39" hidden="1" customHeight="1" x14ac:dyDescent="0.25">
      <c r="C5368" s="222"/>
      <c r="D5368" s="119" t="s">
        <v>3792</v>
      </c>
      <c r="E5368" s="172">
        <v>250000000</v>
      </c>
      <c r="F5368" s="243">
        <v>250000000</v>
      </c>
      <c r="G5368" s="379">
        <f t="shared" si="331"/>
        <v>100</v>
      </c>
      <c r="H5368" s="379">
        <v>100</v>
      </c>
      <c r="I5368" s="111"/>
    </row>
    <row r="5369" spans="3:9" ht="18.75" hidden="1" customHeight="1" x14ac:dyDescent="0.25">
      <c r="C5369" s="222"/>
      <c r="D5369" s="111" t="s">
        <v>3793</v>
      </c>
      <c r="E5369" s="172">
        <v>200000000</v>
      </c>
      <c r="F5369" s="243">
        <v>199000000</v>
      </c>
      <c r="G5369" s="379">
        <f t="shared" si="331"/>
        <v>99.5</v>
      </c>
      <c r="H5369" s="379">
        <v>100</v>
      </c>
      <c r="I5369" s="111"/>
    </row>
    <row r="5370" spans="3:9" ht="39" hidden="1" customHeight="1" x14ac:dyDescent="0.25">
      <c r="C5370" s="222"/>
      <c r="D5370" s="119" t="s">
        <v>3794</v>
      </c>
      <c r="E5370" s="172">
        <v>240000000</v>
      </c>
      <c r="F5370" s="243">
        <v>236800000</v>
      </c>
      <c r="G5370" s="379">
        <f t="shared" si="331"/>
        <v>98.666666666666671</v>
      </c>
      <c r="H5370" s="379">
        <v>100</v>
      </c>
      <c r="I5370" s="111"/>
    </row>
    <row r="5371" spans="3:9" ht="39" hidden="1" customHeight="1" x14ac:dyDescent="0.25">
      <c r="C5371" s="222"/>
      <c r="D5371" s="119" t="s">
        <v>3795</v>
      </c>
      <c r="E5371" s="172">
        <v>876000000</v>
      </c>
      <c r="F5371" s="243">
        <v>873000000</v>
      </c>
      <c r="G5371" s="379">
        <f t="shared" si="331"/>
        <v>99.657534246575338</v>
      </c>
      <c r="H5371" s="379">
        <v>100</v>
      </c>
      <c r="I5371" s="111"/>
    </row>
    <row r="5372" spans="3:9" ht="18.75" hidden="1" customHeight="1" x14ac:dyDescent="0.25">
      <c r="C5372" s="222"/>
      <c r="D5372" s="111" t="s">
        <v>3796</v>
      </c>
      <c r="E5372" s="172">
        <v>740000000</v>
      </c>
      <c r="F5372" s="243">
        <v>740000000</v>
      </c>
      <c r="G5372" s="379">
        <f t="shared" si="331"/>
        <v>100</v>
      </c>
      <c r="H5372" s="379">
        <v>100</v>
      </c>
      <c r="I5372" s="111"/>
    </row>
    <row r="5373" spans="3:9" ht="16.5" hidden="1" customHeight="1" x14ac:dyDescent="0.25">
      <c r="C5373" s="222"/>
      <c r="D5373" s="111" t="s">
        <v>3797</v>
      </c>
      <c r="E5373" s="172">
        <v>240000000</v>
      </c>
      <c r="F5373" s="243">
        <v>240000000</v>
      </c>
      <c r="G5373" s="379">
        <f t="shared" si="331"/>
        <v>100</v>
      </c>
      <c r="H5373" s="379">
        <v>100</v>
      </c>
      <c r="I5373" s="111"/>
    </row>
    <row r="5374" spans="3:9" ht="39" hidden="1" customHeight="1" x14ac:dyDescent="0.25">
      <c r="C5374" s="222"/>
      <c r="D5374" s="119" t="s">
        <v>3798</v>
      </c>
      <c r="E5374" s="172">
        <v>150000000</v>
      </c>
      <c r="F5374" s="243">
        <v>150000000</v>
      </c>
      <c r="G5374" s="379">
        <f t="shared" si="331"/>
        <v>100</v>
      </c>
      <c r="H5374" s="379">
        <v>100</v>
      </c>
      <c r="I5374" s="111"/>
    </row>
    <row r="5375" spans="3:9" ht="39" hidden="1" customHeight="1" x14ac:dyDescent="0.25">
      <c r="C5375" s="222"/>
      <c r="D5375" s="119" t="s">
        <v>3799</v>
      </c>
      <c r="E5375" s="172">
        <v>500000000</v>
      </c>
      <c r="F5375" s="243">
        <v>500000000</v>
      </c>
      <c r="G5375" s="379">
        <f t="shared" si="331"/>
        <v>100</v>
      </c>
      <c r="H5375" s="379">
        <v>100</v>
      </c>
      <c r="I5375" s="111"/>
    </row>
    <row r="5376" spans="3:9" s="115" customFormat="1" ht="16.5" hidden="1" customHeight="1" x14ac:dyDescent="0.25">
      <c r="C5376" s="222"/>
      <c r="D5376" s="48" t="s">
        <v>92</v>
      </c>
      <c r="E5376" s="112">
        <f>SUM(E5377:E5378)</f>
        <v>1037000000</v>
      </c>
      <c r="F5376" s="242">
        <f>SUM(F5377:F5378)</f>
        <v>1037000000</v>
      </c>
      <c r="G5376" s="333">
        <f t="shared" si="331"/>
        <v>100</v>
      </c>
      <c r="H5376" s="333">
        <v>100</v>
      </c>
      <c r="I5376" s="121"/>
    </row>
    <row r="5377" spans="3:9" ht="18.75" hidden="1" customHeight="1" x14ac:dyDescent="0.25">
      <c r="C5377" s="222"/>
      <c r="D5377" s="118" t="s">
        <v>3800</v>
      </c>
      <c r="E5377" s="172">
        <v>200000000</v>
      </c>
      <c r="F5377" s="243">
        <v>200000000</v>
      </c>
      <c r="G5377" s="379">
        <f t="shared" si="331"/>
        <v>100</v>
      </c>
      <c r="H5377" s="379">
        <v>100</v>
      </c>
      <c r="I5377" s="111"/>
    </row>
    <row r="5378" spans="3:9" ht="18.75" hidden="1" customHeight="1" x14ac:dyDescent="0.25">
      <c r="C5378" s="222"/>
      <c r="D5378" s="118" t="s">
        <v>3801</v>
      </c>
      <c r="E5378" s="172">
        <v>837000000</v>
      </c>
      <c r="F5378" s="243">
        <v>837000000</v>
      </c>
      <c r="G5378" s="379">
        <f t="shared" si="331"/>
        <v>100</v>
      </c>
      <c r="H5378" s="379">
        <v>100</v>
      </c>
      <c r="I5378" s="111"/>
    </row>
    <row r="5379" spans="3:9" s="115" customFormat="1" ht="16.5" hidden="1" customHeight="1" x14ac:dyDescent="0.25">
      <c r="C5379" s="222"/>
      <c r="D5379" s="48" t="s">
        <v>1371</v>
      </c>
      <c r="E5379" s="112">
        <f>SUM(E5380)</f>
        <v>6775487900</v>
      </c>
      <c r="F5379" s="242">
        <f>F5380</f>
        <v>6775487900</v>
      </c>
      <c r="G5379" s="333">
        <f t="shared" si="331"/>
        <v>100</v>
      </c>
      <c r="H5379" s="333">
        <v>100</v>
      </c>
      <c r="I5379" s="121"/>
    </row>
    <row r="5380" spans="3:9" ht="16.5" hidden="1" customHeight="1" x14ac:dyDescent="0.25">
      <c r="C5380" s="222"/>
      <c r="D5380" s="32" t="s">
        <v>3802</v>
      </c>
      <c r="E5380" s="172">
        <v>6775487900</v>
      </c>
      <c r="F5380" s="243">
        <v>6775487900</v>
      </c>
      <c r="G5380" s="379">
        <f t="shared" si="331"/>
        <v>100</v>
      </c>
      <c r="H5380" s="379">
        <v>100</v>
      </c>
      <c r="I5380" s="111"/>
    </row>
    <row r="5381" spans="3:9" ht="16.5" hidden="1" customHeight="1" x14ac:dyDescent="0.25">
      <c r="C5381" s="222"/>
      <c r="D5381" s="329"/>
      <c r="E5381" s="112"/>
      <c r="F5381" s="108"/>
      <c r="G5381" s="117"/>
      <c r="H5381" s="114"/>
      <c r="I5381" s="111"/>
    </row>
    <row r="5382" spans="3:9" ht="16.5" hidden="1" customHeight="1" x14ac:dyDescent="0.25">
      <c r="C5382" s="222"/>
      <c r="D5382" s="48" t="s">
        <v>150</v>
      </c>
      <c r="E5382" s="112">
        <f>+E5383+E5385+E5390+E5397+E5400+E5405</f>
        <v>8635353950</v>
      </c>
      <c r="F5382" s="242">
        <f>F5383+F5385+F5390+F5397+F5400+F5405</f>
        <v>8622253950</v>
      </c>
      <c r="G5382" s="333">
        <f t="shared" ref="G5382:G5407" si="332">F5382/E5382*100</f>
        <v>99.848298053839471</v>
      </c>
      <c r="H5382" s="333">
        <v>100</v>
      </c>
      <c r="I5382" s="111"/>
    </row>
    <row r="5383" spans="3:9" ht="16.5" hidden="1" customHeight="1" x14ac:dyDescent="0.25">
      <c r="C5383" s="222"/>
      <c r="D5383" s="48" t="s">
        <v>156</v>
      </c>
      <c r="E5383" s="112">
        <f>+E5384</f>
        <v>1000000000</v>
      </c>
      <c r="F5383" s="242">
        <f>F5384</f>
        <v>1000000000</v>
      </c>
      <c r="G5383" s="333">
        <f t="shared" si="332"/>
        <v>100</v>
      </c>
      <c r="H5383" s="333">
        <v>100</v>
      </c>
      <c r="I5383" s="111"/>
    </row>
    <row r="5384" spans="3:9" ht="16.5" hidden="1" customHeight="1" x14ac:dyDescent="0.25">
      <c r="C5384" s="222"/>
      <c r="D5384" s="32" t="s">
        <v>849</v>
      </c>
      <c r="E5384" s="172">
        <v>1000000000</v>
      </c>
      <c r="F5384" s="243">
        <v>1000000000</v>
      </c>
      <c r="G5384" s="379">
        <f t="shared" si="332"/>
        <v>100</v>
      </c>
      <c r="H5384" s="379">
        <v>100</v>
      </c>
      <c r="I5384" s="111"/>
    </row>
    <row r="5385" spans="3:9" ht="16.5" hidden="1" customHeight="1" x14ac:dyDescent="0.25">
      <c r="C5385" s="222"/>
      <c r="D5385" s="48" t="s">
        <v>166</v>
      </c>
      <c r="E5385" s="112">
        <f>+E5386+E5387+E5388+E5389</f>
        <v>1498000000</v>
      </c>
      <c r="F5385" s="242">
        <f>SUM(F5386:F5389)</f>
        <v>1498000000</v>
      </c>
      <c r="G5385" s="333">
        <f t="shared" si="332"/>
        <v>100</v>
      </c>
      <c r="H5385" s="333">
        <v>100</v>
      </c>
      <c r="I5385" s="111"/>
    </row>
    <row r="5386" spans="3:9" ht="16.5" hidden="1" customHeight="1" x14ac:dyDescent="0.25">
      <c r="C5386" s="222"/>
      <c r="D5386" s="32" t="s">
        <v>3803</v>
      </c>
      <c r="E5386" s="172">
        <v>300000000</v>
      </c>
      <c r="F5386" s="243">
        <v>300000000</v>
      </c>
      <c r="G5386" s="379">
        <f t="shared" si="332"/>
        <v>100</v>
      </c>
      <c r="H5386" s="379">
        <v>100</v>
      </c>
      <c r="I5386" s="111"/>
    </row>
    <row r="5387" spans="3:9" ht="16.5" hidden="1" customHeight="1" x14ac:dyDescent="0.25">
      <c r="C5387" s="222"/>
      <c r="D5387" s="32" t="s">
        <v>848</v>
      </c>
      <c r="E5387" s="172">
        <v>300000000</v>
      </c>
      <c r="F5387" s="243">
        <v>300000000</v>
      </c>
      <c r="G5387" s="379">
        <f t="shared" si="332"/>
        <v>100</v>
      </c>
      <c r="H5387" s="379">
        <v>100</v>
      </c>
      <c r="I5387" s="111"/>
    </row>
    <row r="5388" spans="3:9" ht="16.5" hidden="1" customHeight="1" x14ac:dyDescent="0.25">
      <c r="C5388" s="222"/>
      <c r="D5388" s="32" t="s">
        <v>3804</v>
      </c>
      <c r="E5388" s="172">
        <v>398000000</v>
      </c>
      <c r="F5388" s="243">
        <v>398000000</v>
      </c>
      <c r="G5388" s="379">
        <f t="shared" si="332"/>
        <v>100</v>
      </c>
      <c r="H5388" s="379">
        <v>100</v>
      </c>
      <c r="I5388" s="111"/>
    </row>
    <row r="5389" spans="3:9" ht="18.75" hidden="1" customHeight="1" x14ac:dyDescent="0.25">
      <c r="C5389" s="222"/>
      <c r="D5389" s="119" t="s">
        <v>3805</v>
      </c>
      <c r="E5389" s="172">
        <v>500000000</v>
      </c>
      <c r="F5389" s="243">
        <v>500000000</v>
      </c>
      <c r="G5389" s="379">
        <f t="shared" si="332"/>
        <v>100</v>
      </c>
      <c r="H5389" s="379">
        <v>100</v>
      </c>
      <c r="I5389" s="111"/>
    </row>
    <row r="5390" spans="3:9" s="115" customFormat="1" ht="16.5" hidden="1" customHeight="1" x14ac:dyDescent="0.25">
      <c r="C5390" s="222"/>
      <c r="D5390" s="48" t="s">
        <v>177</v>
      </c>
      <c r="E5390" s="112">
        <f>+E5391+E5392+E5393+E5394+E5395+E5396</f>
        <v>2284353950</v>
      </c>
      <c r="F5390" s="242">
        <f>SUM(F5391:F5396)</f>
        <v>2280953950</v>
      </c>
      <c r="G5390" s="333">
        <f t="shared" si="332"/>
        <v>99.85116141918374</v>
      </c>
      <c r="H5390" s="333">
        <v>100</v>
      </c>
      <c r="I5390" s="121"/>
    </row>
    <row r="5391" spans="3:9" ht="16.5" hidden="1" customHeight="1" x14ac:dyDescent="0.25">
      <c r="C5391" s="222"/>
      <c r="D5391" s="32" t="s">
        <v>3806</v>
      </c>
      <c r="E5391" s="172">
        <v>350000000</v>
      </c>
      <c r="F5391" s="243">
        <v>349700000</v>
      </c>
      <c r="G5391" s="379">
        <f t="shared" si="332"/>
        <v>99.914285714285711</v>
      </c>
      <c r="H5391" s="379">
        <v>100</v>
      </c>
      <c r="I5391" s="111"/>
    </row>
    <row r="5392" spans="3:9" ht="16.5" hidden="1" customHeight="1" x14ac:dyDescent="0.25">
      <c r="C5392" s="222"/>
      <c r="D5392" s="32" t="s">
        <v>3807</v>
      </c>
      <c r="E5392" s="172">
        <v>500000000</v>
      </c>
      <c r="F5392" s="243">
        <v>499500000</v>
      </c>
      <c r="G5392" s="379">
        <f t="shared" si="332"/>
        <v>99.9</v>
      </c>
      <c r="H5392" s="379">
        <v>100</v>
      </c>
      <c r="I5392" s="111"/>
    </row>
    <row r="5393" spans="3:9" ht="16.5" hidden="1" customHeight="1" x14ac:dyDescent="0.25">
      <c r="C5393" s="222"/>
      <c r="D5393" s="32" t="s">
        <v>3808</v>
      </c>
      <c r="E5393" s="172">
        <v>350000000</v>
      </c>
      <c r="F5393" s="243">
        <v>347700000</v>
      </c>
      <c r="G5393" s="379">
        <f t="shared" si="332"/>
        <v>99.342857142857142</v>
      </c>
      <c r="H5393" s="379">
        <v>100</v>
      </c>
      <c r="I5393" s="111"/>
    </row>
    <row r="5394" spans="3:9" ht="16.5" hidden="1" customHeight="1" x14ac:dyDescent="0.25">
      <c r="C5394" s="222"/>
      <c r="D5394" s="32" t="s">
        <v>3809</v>
      </c>
      <c r="E5394" s="172">
        <v>350000000</v>
      </c>
      <c r="F5394" s="243">
        <v>349700000</v>
      </c>
      <c r="G5394" s="379">
        <f t="shared" si="332"/>
        <v>99.914285714285711</v>
      </c>
      <c r="H5394" s="379">
        <v>100</v>
      </c>
      <c r="I5394" s="111"/>
    </row>
    <row r="5395" spans="3:9" ht="39" hidden="1" customHeight="1" x14ac:dyDescent="0.25">
      <c r="C5395" s="222"/>
      <c r="D5395" s="119" t="s">
        <v>3810</v>
      </c>
      <c r="E5395" s="172">
        <v>350000000</v>
      </c>
      <c r="F5395" s="243">
        <v>350000000</v>
      </c>
      <c r="G5395" s="379">
        <f t="shared" si="332"/>
        <v>100</v>
      </c>
      <c r="H5395" s="379">
        <v>100</v>
      </c>
      <c r="I5395" s="111"/>
    </row>
    <row r="5396" spans="3:9" ht="16.5" hidden="1" customHeight="1" x14ac:dyDescent="0.25">
      <c r="C5396" s="222"/>
      <c r="D5396" s="32" t="s">
        <v>3811</v>
      </c>
      <c r="E5396" s="172">
        <v>384353950</v>
      </c>
      <c r="F5396" s="243">
        <v>384353950</v>
      </c>
      <c r="G5396" s="379">
        <f t="shared" si="332"/>
        <v>100</v>
      </c>
      <c r="H5396" s="379">
        <v>100</v>
      </c>
      <c r="I5396" s="111"/>
    </row>
    <row r="5397" spans="3:9" ht="16.5" hidden="1" customHeight="1" x14ac:dyDescent="0.25">
      <c r="C5397" s="222"/>
      <c r="D5397" s="48" t="s">
        <v>182</v>
      </c>
      <c r="E5397" s="112">
        <f>+E5398+E5399</f>
        <v>1100000000</v>
      </c>
      <c r="F5397" s="242">
        <f>SUM(F5398:F5399)</f>
        <v>1100000000</v>
      </c>
      <c r="G5397" s="333">
        <f t="shared" si="332"/>
        <v>100</v>
      </c>
      <c r="H5397" s="333">
        <v>100</v>
      </c>
      <c r="I5397" s="111"/>
    </row>
    <row r="5398" spans="3:9" ht="16.5" hidden="1" customHeight="1" x14ac:dyDescent="0.25">
      <c r="C5398" s="222"/>
      <c r="D5398" s="32" t="s">
        <v>887</v>
      </c>
      <c r="E5398" s="172">
        <v>550000000</v>
      </c>
      <c r="F5398" s="243">
        <v>550000000</v>
      </c>
      <c r="G5398" s="379">
        <f t="shared" si="332"/>
        <v>100</v>
      </c>
      <c r="H5398" s="379">
        <v>100</v>
      </c>
      <c r="I5398" s="111"/>
    </row>
    <row r="5399" spans="3:9" ht="16.5" hidden="1" customHeight="1" x14ac:dyDescent="0.25">
      <c r="C5399" s="222"/>
      <c r="D5399" s="32" t="s">
        <v>3812</v>
      </c>
      <c r="E5399" s="172">
        <v>550000000</v>
      </c>
      <c r="F5399" s="243">
        <v>550000000</v>
      </c>
      <c r="G5399" s="379">
        <f t="shared" si="332"/>
        <v>100</v>
      </c>
      <c r="H5399" s="379">
        <v>100</v>
      </c>
      <c r="I5399" s="111"/>
    </row>
    <row r="5400" spans="3:9" s="115" customFormat="1" ht="39" hidden="1" customHeight="1" x14ac:dyDescent="0.25">
      <c r="C5400" s="222"/>
      <c r="D5400" s="217" t="s">
        <v>1402</v>
      </c>
      <c r="E5400" s="112">
        <f>+E5401+E5402+E5403+E5404</f>
        <v>1803000000</v>
      </c>
      <c r="F5400" s="242">
        <f>SUM(F5401:F5404)</f>
        <v>1793300000</v>
      </c>
      <c r="G5400" s="333">
        <f t="shared" si="332"/>
        <v>99.462007764836386</v>
      </c>
      <c r="H5400" s="333">
        <v>100</v>
      </c>
      <c r="I5400" s="121"/>
    </row>
    <row r="5401" spans="3:9" ht="16.5" hidden="1" customHeight="1" x14ac:dyDescent="0.25">
      <c r="C5401" s="222"/>
      <c r="D5401" s="353" t="s">
        <v>3813</v>
      </c>
      <c r="E5401" s="172">
        <v>500000000</v>
      </c>
      <c r="F5401" s="243">
        <v>497500000</v>
      </c>
      <c r="G5401" s="379">
        <f t="shared" si="332"/>
        <v>99.5</v>
      </c>
      <c r="H5401" s="379">
        <v>100</v>
      </c>
      <c r="I5401" s="111"/>
    </row>
    <row r="5402" spans="3:9" ht="16.5" hidden="1" customHeight="1" x14ac:dyDescent="0.25">
      <c r="C5402" s="222"/>
      <c r="D5402" s="353" t="s">
        <v>3588</v>
      </c>
      <c r="E5402" s="172">
        <v>500000000</v>
      </c>
      <c r="F5402" s="243">
        <v>496800000</v>
      </c>
      <c r="G5402" s="379">
        <f t="shared" si="332"/>
        <v>99.36</v>
      </c>
      <c r="H5402" s="379">
        <v>100</v>
      </c>
      <c r="I5402" s="111"/>
    </row>
    <row r="5403" spans="3:9" ht="16.5" hidden="1" customHeight="1" x14ac:dyDescent="0.25">
      <c r="C5403" s="222"/>
      <c r="D5403" s="353" t="s">
        <v>3814</v>
      </c>
      <c r="E5403" s="172">
        <v>500000000</v>
      </c>
      <c r="F5403" s="243">
        <v>498000000</v>
      </c>
      <c r="G5403" s="379">
        <f t="shared" si="332"/>
        <v>99.6</v>
      </c>
      <c r="H5403" s="379">
        <v>100</v>
      </c>
      <c r="I5403" s="111"/>
    </row>
    <row r="5404" spans="3:9" ht="16.5" hidden="1" customHeight="1" x14ac:dyDescent="0.25">
      <c r="C5404" s="222"/>
      <c r="D5404" s="353" t="s">
        <v>3815</v>
      </c>
      <c r="E5404" s="172">
        <v>303000000</v>
      </c>
      <c r="F5404" s="243">
        <v>301000000</v>
      </c>
      <c r="G5404" s="379">
        <f t="shared" si="332"/>
        <v>99.339933993399342</v>
      </c>
      <c r="H5404" s="379">
        <v>100</v>
      </c>
      <c r="I5404" s="111"/>
    </row>
    <row r="5405" spans="3:9" ht="16.5" hidden="1" customHeight="1" x14ac:dyDescent="0.25">
      <c r="C5405" s="222"/>
      <c r="D5405" s="48" t="s">
        <v>196</v>
      </c>
      <c r="E5405" s="112">
        <f>+E5406+E5407</f>
        <v>950000000</v>
      </c>
      <c r="F5405" s="242">
        <f>SUM(F5406:F5407)</f>
        <v>950000000</v>
      </c>
      <c r="G5405" s="333">
        <f t="shared" si="332"/>
        <v>100</v>
      </c>
      <c r="H5405" s="333">
        <v>100</v>
      </c>
      <c r="I5405" s="111"/>
    </row>
    <row r="5406" spans="3:9" ht="16.5" hidden="1" customHeight="1" x14ac:dyDescent="0.25">
      <c r="C5406" s="222"/>
      <c r="D5406" s="32" t="s">
        <v>3816</v>
      </c>
      <c r="E5406" s="172">
        <v>600000000</v>
      </c>
      <c r="F5406" s="243">
        <v>600000000</v>
      </c>
      <c r="G5406" s="379">
        <f t="shared" si="332"/>
        <v>100</v>
      </c>
      <c r="H5406" s="379">
        <v>100</v>
      </c>
      <c r="I5406" s="111"/>
    </row>
    <row r="5407" spans="3:9" ht="16.5" hidden="1" customHeight="1" x14ac:dyDescent="0.25">
      <c r="C5407" s="222"/>
      <c r="D5407" s="32" t="s">
        <v>3589</v>
      </c>
      <c r="E5407" s="172">
        <v>350000000</v>
      </c>
      <c r="F5407" s="243">
        <v>350000000</v>
      </c>
      <c r="G5407" s="379">
        <f t="shared" si="332"/>
        <v>100</v>
      </c>
      <c r="H5407" s="379">
        <v>100</v>
      </c>
      <c r="I5407" s="111"/>
    </row>
    <row r="5408" spans="3:9" ht="16.5" hidden="1" customHeight="1" x14ac:dyDescent="0.25">
      <c r="C5408" s="222"/>
      <c r="D5408" s="234"/>
      <c r="E5408" s="172"/>
      <c r="F5408" s="108"/>
      <c r="G5408" s="117"/>
      <c r="H5408" s="114"/>
      <c r="I5408" s="111"/>
    </row>
    <row r="5409" spans="3:9" s="115" customFormat="1" ht="16.5" hidden="1" customHeight="1" x14ac:dyDescent="0.25">
      <c r="C5409" s="222"/>
      <c r="D5409" s="48" t="s">
        <v>3817</v>
      </c>
      <c r="E5409" s="112">
        <f>+E5410</f>
        <v>7000000000</v>
      </c>
      <c r="F5409" s="242">
        <f>F5410+F5412</f>
        <v>6997525000</v>
      </c>
      <c r="G5409" s="333">
        <f>F5409/E5409*100</f>
        <v>99.964642857142863</v>
      </c>
      <c r="H5409" s="333">
        <v>100</v>
      </c>
      <c r="I5409" s="121"/>
    </row>
    <row r="5410" spans="3:9" s="115" customFormat="1" ht="16.5" hidden="1" customHeight="1" x14ac:dyDescent="0.25">
      <c r="C5410" s="222"/>
      <c r="D5410" s="48" t="s">
        <v>166</v>
      </c>
      <c r="E5410" s="112">
        <f>+E5411</f>
        <v>7000000000</v>
      </c>
      <c r="F5410" s="242">
        <f>F5411</f>
        <v>6997525000</v>
      </c>
      <c r="G5410" s="333">
        <f>F5410/E5410*100</f>
        <v>99.964642857142863</v>
      </c>
      <c r="H5410" s="333">
        <v>100</v>
      </c>
      <c r="I5410" s="121"/>
    </row>
    <row r="5411" spans="3:9" ht="16.5" hidden="1" customHeight="1" x14ac:dyDescent="0.25">
      <c r="C5411" s="222"/>
      <c r="D5411" s="32" t="s">
        <v>3818</v>
      </c>
      <c r="E5411" s="172">
        <v>7000000000</v>
      </c>
      <c r="F5411" s="243">
        <v>6997525000</v>
      </c>
      <c r="G5411" s="379">
        <f>F5411/E5411*100</f>
        <v>99.964642857142863</v>
      </c>
      <c r="H5411" s="379">
        <v>100</v>
      </c>
      <c r="I5411" s="111"/>
    </row>
    <row r="5412" spans="3:9" ht="16.5" hidden="1" customHeight="1" x14ac:dyDescent="0.25">
      <c r="C5412" s="222"/>
      <c r="D5412" s="329"/>
      <c r="E5412" s="112"/>
      <c r="F5412" s="108"/>
      <c r="G5412" s="117"/>
      <c r="H5412" s="114"/>
      <c r="I5412" s="111"/>
    </row>
    <row r="5413" spans="3:9" s="115" customFormat="1" ht="16.5" hidden="1" customHeight="1" x14ac:dyDescent="0.25">
      <c r="C5413" s="222"/>
      <c r="D5413" s="48" t="s">
        <v>3819</v>
      </c>
      <c r="E5413" s="112">
        <f>+E5414+E5419+E5422</f>
        <v>4680000000</v>
      </c>
      <c r="F5413" s="242">
        <f>F5414+F5419+F5422</f>
        <v>4647521000</v>
      </c>
      <c r="G5413" s="333">
        <f t="shared" ref="G5413:G5426" si="333">F5413/E5413*100</f>
        <v>99.306004273504271</v>
      </c>
      <c r="H5413" s="333">
        <v>100</v>
      </c>
      <c r="I5413" s="121"/>
    </row>
    <row r="5414" spans="3:9" s="115" customFormat="1" ht="39" hidden="1" customHeight="1" x14ac:dyDescent="0.25">
      <c r="C5414" s="222"/>
      <c r="D5414" s="217" t="s">
        <v>364</v>
      </c>
      <c r="E5414" s="112">
        <f>+E5415+E5416+E5417+E5418</f>
        <v>1380000000</v>
      </c>
      <c r="F5414" s="242">
        <f>SUM(F5415:F5418)</f>
        <v>1369321000</v>
      </c>
      <c r="G5414" s="333">
        <f t="shared" si="333"/>
        <v>99.226159420289846</v>
      </c>
      <c r="H5414" s="333">
        <v>100</v>
      </c>
      <c r="I5414" s="121"/>
    </row>
    <row r="5415" spans="3:9" ht="16.5" hidden="1" customHeight="1" x14ac:dyDescent="0.25">
      <c r="C5415" s="222"/>
      <c r="D5415" s="32" t="s">
        <v>3820</v>
      </c>
      <c r="E5415" s="172">
        <v>330000000</v>
      </c>
      <c r="F5415" s="243">
        <v>327200000</v>
      </c>
      <c r="G5415" s="379">
        <f t="shared" si="333"/>
        <v>99.151515151515142</v>
      </c>
      <c r="H5415" s="379">
        <v>100</v>
      </c>
      <c r="I5415" s="111"/>
    </row>
    <row r="5416" spans="3:9" ht="16.5" hidden="1" customHeight="1" x14ac:dyDescent="0.25">
      <c r="C5416" s="222"/>
      <c r="D5416" s="32" t="s">
        <v>3821</v>
      </c>
      <c r="E5416" s="172">
        <v>350000000</v>
      </c>
      <c r="F5416" s="243">
        <v>344621000</v>
      </c>
      <c r="G5416" s="379">
        <f t="shared" si="333"/>
        <v>98.463142857142856</v>
      </c>
      <c r="H5416" s="379">
        <v>100</v>
      </c>
      <c r="I5416" s="111"/>
    </row>
    <row r="5417" spans="3:9" ht="16.5" hidden="1" customHeight="1" x14ac:dyDescent="0.25">
      <c r="C5417" s="222"/>
      <c r="D5417" s="32" t="s">
        <v>3822</v>
      </c>
      <c r="E5417" s="172">
        <v>350000000</v>
      </c>
      <c r="F5417" s="243">
        <v>347500000</v>
      </c>
      <c r="G5417" s="379">
        <f t="shared" si="333"/>
        <v>99.285714285714292</v>
      </c>
      <c r="H5417" s="379">
        <v>100</v>
      </c>
      <c r="I5417" s="111"/>
    </row>
    <row r="5418" spans="3:9" ht="16.5" hidden="1" customHeight="1" x14ac:dyDescent="0.25">
      <c r="C5418" s="222"/>
      <c r="D5418" s="32" t="s">
        <v>3823</v>
      </c>
      <c r="E5418" s="172">
        <v>350000000</v>
      </c>
      <c r="F5418" s="243">
        <v>350000000</v>
      </c>
      <c r="G5418" s="379">
        <f t="shared" si="333"/>
        <v>100</v>
      </c>
      <c r="H5418" s="379">
        <v>100</v>
      </c>
      <c r="I5418" s="111"/>
    </row>
    <row r="5419" spans="3:9" ht="16.5" hidden="1" customHeight="1" x14ac:dyDescent="0.25">
      <c r="C5419" s="222"/>
      <c r="D5419" s="48" t="s">
        <v>370</v>
      </c>
      <c r="E5419" s="112">
        <f>+E5420+E5421</f>
        <v>650000000</v>
      </c>
      <c r="F5419" s="242">
        <f>SUM(F5420:F5421)</f>
        <v>645200000</v>
      </c>
      <c r="G5419" s="333">
        <f t="shared" si="333"/>
        <v>99.26153846153845</v>
      </c>
      <c r="H5419" s="333">
        <v>100</v>
      </c>
      <c r="I5419" s="111"/>
    </row>
    <row r="5420" spans="3:9" ht="16.5" hidden="1" customHeight="1" x14ac:dyDescent="0.25">
      <c r="C5420" s="222"/>
      <c r="D5420" s="32" t="s">
        <v>3824</v>
      </c>
      <c r="E5420" s="172">
        <v>350000000</v>
      </c>
      <c r="F5420" s="243">
        <v>347500000</v>
      </c>
      <c r="G5420" s="379">
        <f t="shared" si="333"/>
        <v>99.285714285714292</v>
      </c>
      <c r="H5420" s="379">
        <v>100</v>
      </c>
      <c r="I5420" s="111"/>
    </row>
    <row r="5421" spans="3:9" ht="18.75" hidden="1" customHeight="1" x14ac:dyDescent="0.25">
      <c r="C5421" s="222"/>
      <c r="D5421" s="119" t="s">
        <v>903</v>
      </c>
      <c r="E5421" s="172">
        <v>300000000</v>
      </c>
      <c r="F5421" s="243">
        <v>297700000</v>
      </c>
      <c r="G5421" s="379">
        <f t="shared" si="333"/>
        <v>99.233333333333334</v>
      </c>
      <c r="H5421" s="379">
        <v>100</v>
      </c>
      <c r="I5421" s="111"/>
    </row>
    <row r="5422" spans="3:9" s="115" customFormat="1" ht="16.5" hidden="1" customHeight="1" x14ac:dyDescent="0.25">
      <c r="C5422" s="222"/>
      <c r="D5422" s="48" t="s">
        <v>899</v>
      </c>
      <c r="E5422" s="112">
        <f>+E5423+E5424+E5425+E5426</f>
        <v>2650000000</v>
      </c>
      <c r="F5422" s="242">
        <f>SUM(F5423:F5426)</f>
        <v>2633000000</v>
      </c>
      <c r="G5422" s="333">
        <f t="shared" si="333"/>
        <v>99.358490566037744</v>
      </c>
      <c r="H5422" s="333">
        <v>100</v>
      </c>
      <c r="I5422" s="121"/>
    </row>
    <row r="5423" spans="3:9" ht="16.5" hidden="1" customHeight="1" x14ac:dyDescent="0.25">
      <c r="C5423" s="222"/>
      <c r="D5423" s="353" t="s">
        <v>3825</v>
      </c>
      <c r="E5423" s="172">
        <v>350000000</v>
      </c>
      <c r="F5423" s="243">
        <v>350000000</v>
      </c>
      <c r="G5423" s="379">
        <f t="shared" si="333"/>
        <v>100</v>
      </c>
      <c r="H5423" s="379">
        <v>100</v>
      </c>
      <c r="I5423" s="111"/>
    </row>
    <row r="5424" spans="3:9" ht="16.5" hidden="1" customHeight="1" x14ac:dyDescent="0.25">
      <c r="C5424" s="222"/>
      <c r="D5424" s="353" t="s">
        <v>3826</v>
      </c>
      <c r="E5424" s="172">
        <v>1400000000</v>
      </c>
      <c r="F5424" s="243">
        <v>1395000000</v>
      </c>
      <c r="G5424" s="379">
        <f t="shared" si="333"/>
        <v>99.642857142857139</v>
      </c>
      <c r="H5424" s="379">
        <v>100</v>
      </c>
      <c r="I5424" s="111"/>
    </row>
    <row r="5425" spans="3:9" ht="16.5" hidden="1" customHeight="1" x14ac:dyDescent="0.25">
      <c r="C5425" s="222"/>
      <c r="D5425" s="353" t="s">
        <v>3827</v>
      </c>
      <c r="E5425" s="172">
        <v>600000000</v>
      </c>
      <c r="F5425" s="243">
        <v>600000000</v>
      </c>
      <c r="G5425" s="379">
        <f t="shared" si="333"/>
        <v>100</v>
      </c>
      <c r="H5425" s="379">
        <v>100</v>
      </c>
      <c r="I5425" s="111"/>
    </row>
    <row r="5426" spans="3:9" ht="16.5" hidden="1" customHeight="1" x14ac:dyDescent="0.25">
      <c r="C5426" s="222"/>
      <c r="D5426" s="353" t="s">
        <v>921</v>
      </c>
      <c r="E5426" s="172">
        <v>300000000</v>
      </c>
      <c r="F5426" s="243">
        <v>288000000</v>
      </c>
      <c r="G5426" s="379">
        <f t="shared" si="333"/>
        <v>96</v>
      </c>
      <c r="H5426" s="379">
        <v>100</v>
      </c>
      <c r="I5426" s="111"/>
    </row>
    <row r="5427" spans="3:9" ht="16.5" hidden="1" customHeight="1" x14ac:dyDescent="0.25">
      <c r="C5427" s="222"/>
      <c r="D5427" s="329"/>
      <c r="E5427" s="112"/>
      <c r="F5427" s="108"/>
      <c r="G5427" s="117"/>
      <c r="H5427" s="114"/>
      <c r="I5427" s="111"/>
    </row>
    <row r="5428" spans="3:9" s="115" customFormat="1" ht="16.5" hidden="1" customHeight="1" x14ac:dyDescent="0.25">
      <c r="C5428" s="222"/>
      <c r="D5428" s="48" t="s">
        <v>3828</v>
      </c>
      <c r="E5428" s="112">
        <f>+E5429</f>
        <v>2500000000</v>
      </c>
      <c r="F5428" s="242">
        <f>F5429</f>
        <v>2494400000</v>
      </c>
      <c r="G5428" s="333">
        <f t="shared" ref="G5428:G5435" si="334">F5428/E5428*100</f>
        <v>99.775999999999996</v>
      </c>
      <c r="H5428" s="333">
        <v>100</v>
      </c>
      <c r="I5428" s="121"/>
    </row>
    <row r="5429" spans="3:9" s="115" customFormat="1" ht="16.5" hidden="1" customHeight="1" x14ac:dyDescent="0.25">
      <c r="C5429" s="222"/>
      <c r="D5429" s="48" t="s">
        <v>1433</v>
      </c>
      <c r="E5429" s="112">
        <f>+E5430+E5432+E5431+E5433+E5434+E5435</f>
        <v>2500000000</v>
      </c>
      <c r="F5429" s="242">
        <f>SUM(F5430:F5435)</f>
        <v>2494400000</v>
      </c>
      <c r="G5429" s="333">
        <f t="shared" si="334"/>
        <v>99.775999999999996</v>
      </c>
      <c r="H5429" s="333">
        <v>100</v>
      </c>
      <c r="I5429" s="121"/>
    </row>
    <row r="5430" spans="3:9" ht="16.5" hidden="1" customHeight="1" x14ac:dyDescent="0.25">
      <c r="C5430" s="222"/>
      <c r="D5430" s="32" t="s">
        <v>3829</v>
      </c>
      <c r="E5430" s="172">
        <v>500000000</v>
      </c>
      <c r="F5430" s="243">
        <v>499400000</v>
      </c>
      <c r="G5430" s="379">
        <f t="shared" si="334"/>
        <v>99.88</v>
      </c>
      <c r="H5430" s="379">
        <v>100</v>
      </c>
      <c r="I5430" s="111"/>
    </row>
    <row r="5431" spans="3:9" ht="16.5" hidden="1" customHeight="1" x14ac:dyDescent="0.25">
      <c r="C5431" s="222"/>
      <c r="D5431" s="32" t="s">
        <v>3830</v>
      </c>
      <c r="E5431" s="172">
        <v>650000000</v>
      </c>
      <c r="F5431" s="243">
        <v>645000000</v>
      </c>
      <c r="G5431" s="379">
        <f t="shared" si="334"/>
        <v>99.230769230769226</v>
      </c>
      <c r="H5431" s="379">
        <v>100</v>
      </c>
      <c r="I5431" s="111"/>
    </row>
    <row r="5432" spans="3:9" ht="18.75" hidden="1" customHeight="1" x14ac:dyDescent="0.25">
      <c r="C5432" s="222"/>
      <c r="D5432" s="119" t="s">
        <v>3831</v>
      </c>
      <c r="E5432" s="172">
        <v>400000000</v>
      </c>
      <c r="F5432" s="243">
        <f>+E5432</f>
        <v>400000000</v>
      </c>
      <c r="G5432" s="379">
        <f t="shared" si="334"/>
        <v>100</v>
      </c>
      <c r="H5432" s="379">
        <v>100</v>
      </c>
      <c r="I5432" s="111"/>
    </row>
    <row r="5433" spans="3:9" ht="16.5" hidden="1" customHeight="1" x14ac:dyDescent="0.25">
      <c r="C5433" s="222"/>
      <c r="D5433" s="32" t="s">
        <v>3832</v>
      </c>
      <c r="E5433" s="172">
        <v>350000000</v>
      </c>
      <c r="F5433" s="243">
        <v>350000000</v>
      </c>
      <c r="G5433" s="379">
        <f t="shared" si="334"/>
        <v>100</v>
      </c>
      <c r="H5433" s="379">
        <v>100</v>
      </c>
      <c r="I5433" s="111"/>
    </row>
    <row r="5434" spans="3:9" ht="16.5" hidden="1" customHeight="1" x14ac:dyDescent="0.25">
      <c r="C5434" s="222"/>
      <c r="D5434" s="32" t="s">
        <v>943</v>
      </c>
      <c r="E5434" s="172">
        <v>250000000</v>
      </c>
      <c r="F5434" s="243">
        <v>250000000</v>
      </c>
      <c r="G5434" s="379">
        <f t="shared" si="334"/>
        <v>100</v>
      </c>
      <c r="H5434" s="379">
        <v>100</v>
      </c>
      <c r="I5434" s="111"/>
    </row>
    <row r="5435" spans="3:9" ht="16.5" hidden="1" customHeight="1" x14ac:dyDescent="0.25">
      <c r="C5435" s="222"/>
      <c r="D5435" s="32" t="s">
        <v>3833</v>
      </c>
      <c r="E5435" s="172">
        <v>350000000</v>
      </c>
      <c r="F5435" s="243">
        <v>350000000</v>
      </c>
      <c r="G5435" s="379">
        <f t="shared" si="334"/>
        <v>100</v>
      </c>
      <c r="H5435" s="379">
        <v>100</v>
      </c>
      <c r="I5435" s="111"/>
    </row>
    <row r="5436" spans="3:9" ht="16.5" hidden="1" customHeight="1" x14ac:dyDescent="0.25">
      <c r="C5436" s="222"/>
      <c r="D5436" s="329"/>
      <c r="E5436" s="112"/>
      <c r="F5436" s="108"/>
      <c r="G5436" s="117"/>
      <c r="H5436" s="114"/>
      <c r="I5436" s="111"/>
    </row>
    <row r="5437" spans="3:9" s="115" customFormat="1" ht="16.5" hidden="1" customHeight="1" x14ac:dyDescent="0.25">
      <c r="C5437" s="222"/>
      <c r="D5437" s="48" t="s">
        <v>770</v>
      </c>
      <c r="E5437" s="112">
        <f>+E5438+E5440+E5442+E5447</f>
        <v>10058923300</v>
      </c>
      <c r="F5437" s="242">
        <f>F5438+F5440+F5442+F5447</f>
        <v>10026390500</v>
      </c>
      <c r="G5437" s="333">
        <f t="shared" ref="G5437:G5449" si="335">F5437/E5437*100</f>
        <v>99.676577710856989</v>
      </c>
      <c r="H5437" s="333">
        <v>100</v>
      </c>
      <c r="I5437" s="121"/>
    </row>
    <row r="5438" spans="3:9" s="115" customFormat="1" ht="16.5" hidden="1" customHeight="1" x14ac:dyDescent="0.25">
      <c r="C5438" s="222"/>
      <c r="D5438" s="48" t="s">
        <v>1433</v>
      </c>
      <c r="E5438" s="112">
        <f>+E5439</f>
        <v>500000000</v>
      </c>
      <c r="F5438" s="242">
        <f>F5439</f>
        <v>497260500</v>
      </c>
      <c r="G5438" s="333">
        <f t="shared" si="335"/>
        <v>99.452100000000002</v>
      </c>
      <c r="H5438" s="333">
        <v>100</v>
      </c>
      <c r="I5438" s="121"/>
    </row>
    <row r="5439" spans="3:9" ht="16.5" hidden="1" customHeight="1" x14ac:dyDescent="0.25">
      <c r="C5439" s="222"/>
      <c r="D5439" s="32" t="s">
        <v>3834</v>
      </c>
      <c r="E5439" s="172">
        <v>500000000</v>
      </c>
      <c r="F5439" s="243">
        <v>497260500</v>
      </c>
      <c r="G5439" s="379">
        <f t="shared" si="335"/>
        <v>99.452100000000002</v>
      </c>
      <c r="H5439" s="379">
        <v>100</v>
      </c>
      <c r="I5439" s="111"/>
    </row>
    <row r="5440" spans="3:9" s="115" customFormat="1" ht="16.5" hidden="1" customHeight="1" x14ac:dyDescent="0.25">
      <c r="C5440" s="222"/>
      <c r="D5440" s="48" t="s">
        <v>496</v>
      </c>
      <c r="E5440" s="112">
        <f>+E5441</f>
        <v>2500000000</v>
      </c>
      <c r="F5440" s="242">
        <f>F5441</f>
        <v>2495300000</v>
      </c>
      <c r="G5440" s="333">
        <f t="shared" si="335"/>
        <v>99.811999999999998</v>
      </c>
      <c r="H5440" s="333">
        <v>100</v>
      </c>
      <c r="I5440" s="121"/>
    </row>
    <row r="5441" spans="3:9" ht="16.5" hidden="1" customHeight="1" x14ac:dyDescent="0.25">
      <c r="C5441" s="222"/>
      <c r="D5441" s="32" t="s">
        <v>498</v>
      </c>
      <c r="E5441" s="172">
        <v>2500000000</v>
      </c>
      <c r="F5441" s="243">
        <v>2495300000</v>
      </c>
      <c r="G5441" s="379">
        <f t="shared" si="335"/>
        <v>99.811999999999998</v>
      </c>
      <c r="H5441" s="379">
        <v>100</v>
      </c>
      <c r="I5441" s="111"/>
    </row>
    <row r="5442" spans="3:9" s="115" customFormat="1" ht="16.5" hidden="1" customHeight="1" x14ac:dyDescent="0.25">
      <c r="C5442" s="222"/>
      <c r="D5442" s="48" t="s">
        <v>517</v>
      </c>
      <c r="E5442" s="112">
        <f>+E5443+E5444+E5445+E5446</f>
        <v>3070000000</v>
      </c>
      <c r="F5442" s="242">
        <f>SUM(F5443:F5446)</f>
        <v>3061000000</v>
      </c>
      <c r="G5442" s="333">
        <f t="shared" si="335"/>
        <v>99.706840390879478</v>
      </c>
      <c r="H5442" s="333">
        <v>100</v>
      </c>
      <c r="I5442" s="121"/>
    </row>
    <row r="5443" spans="3:9" ht="16.5" hidden="1" customHeight="1" x14ac:dyDescent="0.25">
      <c r="C5443" s="222"/>
      <c r="D5443" s="32" t="s">
        <v>518</v>
      </c>
      <c r="E5443" s="172">
        <v>1200000000</v>
      </c>
      <c r="F5443" s="243">
        <v>1196700000</v>
      </c>
      <c r="G5443" s="379">
        <f t="shared" si="335"/>
        <v>99.724999999999994</v>
      </c>
      <c r="H5443" s="379">
        <v>100</v>
      </c>
      <c r="I5443" s="111"/>
    </row>
    <row r="5444" spans="3:9" ht="16.5" hidden="1" customHeight="1" x14ac:dyDescent="0.25">
      <c r="C5444" s="222"/>
      <c r="D5444" s="32" t="s">
        <v>3835</v>
      </c>
      <c r="E5444" s="172">
        <v>670000000</v>
      </c>
      <c r="F5444" s="243">
        <v>664300000</v>
      </c>
      <c r="G5444" s="379">
        <f t="shared" si="335"/>
        <v>99.149253731343279</v>
      </c>
      <c r="H5444" s="379">
        <v>100</v>
      </c>
      <c r="I5444" s="111"/>
    </row>
    <row r="5445" spans="3:9" ht="16.5" hidden="1" customHeight="1" x14ac:dyDescent="0.25">
      <c r="C5445" s="222"/>
      <c r="D5445" s="32" t="s">
        <v>3836</v>
      </c>
      <c r="E5445" s="172">
        <v>600000000</v>
      </c>
      <c r="F5445" s="243">
        <v>600000000</v>
      </c>
      <c r="G5445" s="379">
        <f t="shared" si="335"/>
        <v>100</v>
      </c>
      <c r="H5445" s="379">
        <v>100</v>
      </c>
      <c r="I5445" s="111"/>
    </row>
    <row r="5446" spans="3:9" ht="16.5" hidden="1" customHeight="1" x14ac:dyDescent="0.25">
      <c r="C5446" s="222"/>
      <c r="D5446" s="32" t="s">
        <v>3837</v>
      </c>
      <c r="E5446" s="172">
        <v>600000000</v>
      </c>
      <c r="F5446" s="243">
        <v>600000000</v>
      </c>
      <c r="G5446" s="379">
        <f t="shared" si="335"/>
        <v>100</v>
      </c>
      <c r="H5446" s="379">
        <v>100</v>
      </c>
      <c r="I5446" s="111"/>
    </row>
    <row r="5447" spans="3:9" s="115" customFormat="1" ht="16.5" hidden="1" customHeight="1" x14ac:dyDescent="0.25">
      <c r="C5447" s="222"/>
      <c r="D5447" s="48" t="s">
        <v>3838</v>
      </c>
      <c r="E5447" s="112">
        <f>+E5448+E5449</f>
        <v>3988923300</v>
      </c>
      <c r="F5447" s="242">
        <f>SUM(F5448:F5449)</f>
        <v>3972830000</v>
      </c>
      <c r="G5447" s="333">
        <f t="shared" si="335"/>
        <v>99.596550277113622</v>
      </c>
      <c r="H5447" s="333">
        <v>100</v>
      </c>
      <c r="I5447" s="121"/>
    </row>
    <row r="5448" spans="3:9" ht="16.5" hidden="1" customHeight="1" x14ac:dyDescent="0.25">
      <c r="C5448" s="222"/>
      <c r="D5448" s="32" t="s">
        <v>3839</v>
      </c>
      <c r="E5448" s="172">
        <v>3458923300</v>
      </c>
      <c r="F5448" s="243">
        <v>3442880000</v>
      </c>
      <c r="G5448" s="379">
        <f t="shared" si="335"/>
        <v>99.53617647433812</v>
      </c>
      <c r="H5448" s="379">
        <v>100</v>
      </c>
      <c r="I5448" s="111"/>
    </row>
    <row r="5449" spans="3:9" ht="16.5" hidden="1" customHeight="1" x14ac:dyDescent="0.25">
      <c r="C5449" s="222"/>
      <c r="D5449" s="32" t="s">
        <v>3840</v>
      </c>
      <c r="E5449" s="172">
        <v>530000000</v>
      </c>
      <c r="F5449" s="243">
        <v>529950000</v>
      </c>
      <c r="G5449" s="379">
        <f t="shared" si="335"/>
        <v>99.990566037735846</v>
      </c>
      <c r="H5449" s="379">
        <v>100</v>
      </c>
      <c r="I5449" s="111"/>
    </row>
    <row r="5450" spans="3:9" ht="16.5" hidden="1" customHeight="1" x14ac:dyDescent="0.25">
      <c r="C5450" s="222"/>
      <c r="D5450" s="329"/>
      <c r="E5450" s="112"/>
      <c r="F5450" s="108"/>
      <c r="G5450" s="117"/>
      <c r="H5450" s="114"/>
      <c r="I5450" s="111"/>
    </row>
    <row r="5451" spans="3:9" s="115" customFormat="1" ht="16.5" hidden="1" customHeight="1" x14ac:dyDescent="0.25">
      <c r="C5451" s="222"/>
      <c r="D5451" s="48" t="s">
        <v>905</v>
      </c>
      <c r="E5451" s="112">
        <f>+E5452+E5454</f>
        <v>820000000</v>
      </c>
      <c r="F5451" s="113">
        <f>+F5452+F5454</f>
        <v>798000000</v>
      </c>
      <c r="G5451" s="382">
        <f>+F5451/E5451*100</f>
        <v>97.317073170731703</v>
      </c>
      <c r="H5451" s="114">
        <v>100</v>
      </c>
      <c r="I5451" s="121"/>
    </row>
    <row r="5452" spans="3:9" s="115" customFormat="1" ht="16.5" hidden="1" customHeight="1" x14ac:dyDescent="0.25">
      <c r="C5452" s="222"/>
      <c r="D5452" s="48" t="s">
        <v>405</v>
      </c>
      <c r="E5452" s="112">
        <f>+E5453</f>
        <v>500000000</v>
      </c>
      <c r="F5452" s="113">
        <f>+F5453</f>
        <v>478000000</v>
      </c>
      <c r="G5452" s="382">
        <f>+F5452/E5452*100</f>
        <v>95.6</v>
      </c>
      <c r="H5452" s="114">
        <v>100</v>
      </c>
      <c r="I5452" s="121"/>
    </row>
    <row r="5453" spans="3:9" ht="16.5" hidden="1" customHeight="1" x14ac:dyDescent="0.25">
      <c r="C5453" s="222"/>
      <c r="D5453" s="32" t="s">
        <v>3841</v>
      </c>
      <c r="E5453" s="172">
        <v>500000000</v>
      </c>
      <c r="F5453" s="108">
        <v>478000000</v>
      </c>
      <c r="G5453" s="365">
        <f>F5453/E5453*100</f>
        <v>95.6</v>
      </c>
      <c r="H5453" s="114">
        <v>100</v>
      </c>
      <c r="I5453" s="111"/>
    </row>
    <row r="5454" spans="3:9" s="115" customFormat="1" ht="16.5" hidden="1" customHeight="1" x14ac:dyDescent="0.25">
      <c r="C5454" s="222"/>
      <c r="D5454" s="48" t="s">
        <v>1783</v>
      </c>
      <c r="E5454" s="112">
        <f>+E5455</f>
        <v>320000000</v>
      </c>
      <c r="F5454" s="113">
        <f>+F5455</f>
        <v>320000000</v>
      </c>
      <c r="G5454" s="382">
        <f>+F5454/E5454*100</f>
        <v>100</v>
      </c>
      <c r="H5454" s="114">
        <v>100</v>
      </c>
      <c r="I5454" s="121"/>
    </row>
    <row r="5455" spans="3:9" ht="16.5" hidden="1" customHeight="1" x14ac:dyDescent="0.25">
      <c r="C5455" s="222"/>
      <c r="D5455" s="32" t="s">
        <v>3842</v>
      </c>
      <c r="E5455" s="172">
        <v>320000000</v>
      </c>
      <c r="F5455" s="108">
        <v>320000000</v>
      </c>
      <c r="G5455" s="365">
        <f>F5455/E5455*100</f>
        <v>100</v>
      </c>
      <c r="H5455" s="114">
        <v>100</v>
      </c>
      <c r="I5455" s="111"/>
    </row>
    <row r="5456" spans="3:9" ht="16.5" hidden="1" customHeight="1" x14ac:dyDescent="0.25">
      <c r="C5456" s="222"/>
      <c r="D5456" s="234"/>
      <c r="E5456" s="172"/>
      <c r="F5456" s="108"/>
      <c r="G5456" s="117"/>
      <c r="H5456" s="114"/>
      <c r="I5456" s="111"/>
    </row>
    <row r="5457" spans="3:9" s="115" customFormat="1" ht="16.5" hidden="1" customHeight="1" x14ac:dyDescent="0.25">
      <c r="C5457" s="222"/>
      <c r="D5457" s="48" t="s">
        <v>765</v>
      </c>
      <c r="E5457" s="112">
        <f>+E5458+E5462+E5467</f>
        <v>8500000000</v>
      </c>
      <c r="F5457" s="242">
        <f>F5458+F5462+F5467</f>
        <v>8474928000</v>
      </c>
      <c r="G5457" s="333">
        <f t="shared" ref="G5457:G5469" si="336">F5457/E5457*100</f>
        <v>99.70503529411765</v>
      </c>
      <c r="H5457" s="333">
        <v>100</v>
      </c>
      <c r="I5457" s="121"/>
    </row>
    <row r="5458" spans="3:9" s="115" customFormat="1" ht="16.5" hidden="1" customHeight="1" x14ac:dyDescent="0.25">
      <c r="C5458" s="222"/>
      <c r="D5458" s="48" t="s">
        <v>418</v>
      </c>
      <c r="E5458" s="112">
        <f>+E5459+E5460+E5461</f>
        <v>2500000000</v>
      </c>
      <c r="F5458" s="242">
        <f>SUM(F5459:F5461)</f>
        <v>2499500000</v>
      </c>
      <c r="G5458" s="333">
        <f t="shared" si="336"/>
        <v>99.98</v>
      </c>
      <c r="H5458" s="333">
        <v>100</v>
      </c>
      <c r="I5458" s="121"/>
    </row>
    <row r="5459" spans="3:9" ht="16.5" hidden="1" customHeight="1" x14ac:dyDescent="0.25">
      <c r="C5459" s="222"/>
      <c r="D5459" s="32" t="s">
        <v>419</v>
      </c>
      <c r="E5459" s="172">
        <v>1500000000</v>
      </c>
      <c r="F5459" s="243">
        <v>1499500000</v>
      </c>
      <c r="G5459" s="379">
        <f t="shared" si="336"/>
        <v>99.966666666666669</v>
      </c>
      <c r="H5459" s="379">
        <v>100</v>
      </c>
      <c r="I5459" s="111"/>
    </row>
    <row r="5460" spans="3:9" ht="16.5" hidden="1" customHeight="1" x14ac:dyDescent="0.25">
      <c r="C5460" s="222"/>
      <c r="D5460" s="32" t="s">
        <v>3231</v>
      </c>
      <c r="E5460" s="172">
        <v>500000000</v>
      </c>
      <c r="F5460" s="243">
        <v>500000000</v>
      </c>
      <c r="G5460" s="379">
        <f t="shared" si="336"/>
        <v>100</v>
      </c>
      <c r="H5460" s="379">
        <v>100</v>
      </c>
      <c r="I5460" s="111"/>
    </row>
    <row r="5461" spans="3:9" ht="16.5" hidden="1" customHeight="1" x14ac:dyDescent="0.25">
      <c r="C5461" s="222"/>
      <c r="D5461" s="32" t="s">
        <v>3843</v>
      </c>
      <c r="E5461" s="172">
        <v>500000000</v>
      </c>
      <c r="F5461" s="243">
        <v>500000000</v>
      </c>
      <c r="G5461" s="379">
        <f t="shared" si="336"/>
        <v>100</v>
      </c>
      <c r="H5461" s="379">
        <v>100</v>
      </c>
      <c r="I5461" s="111"/>
    </row>
    <row r="5462" spans="3:9" s="115" customFormat="1" ht="16.5" hidden="1" customHeight="1" x14ac:dyDescent="0.25">
      <c r="C5462" s="222"/>
      <c r="D5462" s="48" t="s">
        <v>768</v>
      </c>
      <c r="E5462" s="112">
        <f>+E5463+E5464+E5465+E5466</f>
        <v>3000000000</v>
      </c>
      <c r="F5462" s="242">
        <f>SUM(F5463:F5466)</f>
        <v>2981578000</v>
      </c>
      <c r="G5462" s="333">
        <f t="shared" si="336"/>
        <v>99.385933333333327</v>
      </c>
      <c r="H5462" s="333">
        <v>100</v>
      </c>
      <c r="I5462" s="121"/>
    </row>
    <row r="5463" spans="3:9" ht="16.5" hidden="1" customHeight="1" x14ac:dyDescent="0.25">
      <c r="C5463" s="222"/>
      <c r="D5463" s="32" t="s">
        <v>2769</v>
      </c>
      <c r="E5463" s="172">
        <v>500000000</v>
      </c>
      <c r="F5463" s="243">
        <v>500000000</v>
      </c>
      <c r="G5463" s="379">
        <f t="shared" si="336"/>
        <v>100</v>
      </c>
      <c r="H5463" s="379">
        <v>100</v>
      </c>
      <c r="I5463" s="111"/>
    </row>
    <row r="5464" spans="3:9" ht="16.5" hidden="1" customHeight="1" x14ac:dyDescent="0.25">
      <c r="C5464" s="222"/>
      <c r="D5464" s="32" t="s">
        <v>3844</v>
      </c>
      <c r="E5464" s="172">
        <v>1000000000</v>
      </c>
      <c r="F5464" s="243">
        <v>999200000</v>
      </c>
      <c r="G5464" s="379">
        <f t="shared" si="336"/>
        <v>99.92</v>
      </c>
      <c r="H5464" s="379">
        <v>100</v>
      </c>
      <c r="I5464" s="111"/>
    </row>
    <row r="5465" spans="3:9" ht="16.5" hidden="1" customHeight="1" x14ac:dyDescent="0.25">
      <c r="C5465" s="222"/>
      <c r="D5465" s="32" t="s">
        <v>3845</v>
      </c>
      <c r="E5465" s="172">
        <v>500000000</v>
      </c>
      <c r="F5465" s="243">
        <v>492378000</v>
      </c>
      <c r="G5465" s="379">
        <f t="shared" si="336"/>
        <v>98.4756</v>
      </c>
      <c r="H5465" s="379">
        <v>100</v>
      </c>
      <c r="I5465" s="111"/>
    </row>
    <row r="5466" spans="3:9" ht="16.5" hidden="1" customHeight="1" x14ac:dyDescent="0.25">
      <c r="C5466" s="222"/>
      <c r="D5466" s="32" t="s">
        <v>3846</v>
      </c>
      <c r="E5466" s="172">
        <v>1000000000</v>
      </c>
      <c r="F5466" s="243">
        <v>990000000</v>
      </c>
      <c r="G5466" s="379">
        <f t="shared" si="336"/>
        <v>99</v>
      </c>
      <c r="H5466" s="379">
        <v>100</v>
      </c>
      <c r="I5466" s="111"/>
    </row>
    <row r="5467" spans="3:9" s="115" customFormat="1" ht="16.5" hidden="1" customHeight="1" x14ac:dyDescent="0.25">
      <c r="C5467" s="222"/>
      <c r="D5467" s="48" t="s">
        <v>1308</v>
      </c>
      <c r="E5467" s="112">
        <f>+E5468+E5469</f>
        <v>3000000000</v>
      </c>
      <c r="F5467" s="242">
        <f>SUM(F5468:F5469)</f>
        <v>2993850000</v>
      </c>
      <c r="G5467" s="333">
        <f t="shared" si="336"/>
        <v>99.795000000000002</v>
      </c>
      <c r="H5467" s="333">
        <v>100</v>
      </c>
      <c r="I5467" s="121"/>
    </row>
    <row r="5468" spans="3:9" ht="16.5" hidden="1" customHeight="1" x14ac:dyDescent="0.25">
      <c r="C5468" s="222"/>
      <c r="D5468" s="32" t="s">
        <v>3847</v>
      </c>
      <c r="E5468" s="172">
        <v>1500000000</v>
      </c>
      <c r="F5468" s="243">
        <v>1497000000</v>
      </c>
      <c r="G5468" s="379">
        <f t="shared" si="336"/>
        <v>99.8</v>
      </c>
      <c r="H5468" s="379">
        <v>100</v>
      </c>
      <c r="I5468" s="111"/>
    </row>
    <row r="5469" spans="3:9" ht="16.5" hidden="1" customHeight="1" x14ac:dyDescent="0.25">
      <c r="C5469" s="222"/>
      <c r="D5469" s="32" t="s">
        <v>3848</v>
      </c>
      <c r="E5469" s="172">
        <v>1500000000</v>
      </c>
      <c r="F5469" s="243">
        <v>1496850000</v>
      </c>
      <c r="G5469" s="379">
        <f t="shared" si="336"/>
        <v>99.79</v>
      </c>
      <c r="H5469" s="379">
        <v>100</v>
      </c>
      <c r="I5469" s="111"/>
    </row>
    <row r="5470" spans="3:9" ht="16.5" hidden="1" customHeight="1" x14ac:dyDescent="0.25">
      <c r="C5470" s="222"/>
      <c r="D5470" s="234"/>
      <c r="E5470" s="172"/>
      <c r="F5470" s="108"/>
      <c r="G5470" s="117"/>
      <c r="H5470" s="114"/>
      <c r="I5470" s="111"/>
    </row>
    <row r="5471" spans="3:9" s="115" customFormat="1" ht="16.5" hidden="1" customHeight="1" x14ac:dyDescent="0.25">
      <c r="C5471" s="222"/>
      <c r="D5471" s="48" t="s">
        <v>854</v>
      </c>
      <c r="E5471" s="112">
        <f>+E5472+E5477</f>
        <v>11847138600</v>
      </c>
      <c r="F5471" s="242">
        <f>F5472+F5477</f>
        <v>11816435000</v>
      </c>
      <c r="G5471" s="333">
        <f t="shared" ref="G5471:G5478" si="337">F5471/E5471*100</f>
        <v>99.740835310224199</v>
      </c>
      <c r="H5471" s="333">
        <v>100</v>
      </c>
      <c r="I5471" s="121"/>
    </row>
    <row r="5472" spans="3:9" s="115" customFormat="1" ht="16.5" hidden="1" customHeight="1" x14ac:dyDescent="0.25">
      <c r="C5472" s="222"/>
      <c r="D5472" s="48" t="s">
        <v>3849</v>
      </c>
      <c r="E5472" s="112">
        <f>+E5473+E5474+E5475+E5476</f>
        <v>10500000000</v>
      </c>
      <c r="F5472" s="242">
        <f>SUM(F5473:F5476)</f>
        <v>10477036000</v>
      </c>
      <c r="G5472" s="333">
        <f t="shared" si="337"/>
        <v>99.78129523809524</v>
      </c>
      <c r="H5472" s="333">
        <v>100</v>
      </c>
      <c r="I5472" s="121"/>
    </row>
    <row r="5473" spans="3:9" ht="16.5" hidden="1" customHeight="1" x14ac:dyDescent="0.25">
      <c r="C5473" s="222"/>
      <c r="D5473" s="32" t="s">
        <v>3850</v>
      </c>
      <c r="E5473" s="172">
        <v>3000000000</v>
      </c>
      <c r="F5473" s="243">
        <v>2987800000</v>
      </c>
      <c r="G5473" s="379">
        <f t="shared" si="337"/>
        <v>99.593333333333334</v>
      </c>
      <c r="H5473" s="379">
        <v>100</v>
      </c>
      <c r="I5473" s="111"/>
    </row>
    <row r="5474" spans="3:9" ht="16.5" hidden="1" customHeight="1" x14ac:dyDescent="0.25">
      <c r="C5474" s="222"/>
      <c r="D5474" s="32" t="s">
        <v>3851</v>
      </c>
      <c r="E5474" s="172">
        <v>3500000000</v>
      </c>
      <c r="F5474" s="243">
        <v>3492950000</v>
      </c>
      <c r="G5474" s="379">
        <f t="shared" si="337"/>
        <v>99.798571428571421</v>
      </c>
      <c r="H5474" s="379">
        <v>100</v>
      </c>
      <c r="I5474" s="111"/>
    </row>
    <row r="5475" spans="3:9" ht="16.5" hidden="1" customHeight="1" x14ac:dyDescent="0.25">
      <c r="C5475" s="222"/>
      <c r="D5475" s="32" t="s">
        <v>3852</v>
      </c>
      <c r="E5475" s="172">
        <v>3000000000</v>
      </c>
      <c r="F5475" s="243">
        <v>2998086000</v>
      </c>
      <c r="G5475" s="379">
        <f t="shared" si="337"/>
        <v>99.936199999999999</v>
      </c>
      <c r="H5475" s="379">
        <v>100</v>
      </c>
      <c r="I5475" s="111"/>
    </row>
    <row r="5476" spans="3:9" ht="16.5" hidden="1" customHeight="1" x14ac:dyDescent="0.25">
      <c r="C5476" s="222"/>
      <c r="D5476" s="32" t="s">
        <v>3853</v>
      </c>
      <c r="E5476" s="172">
        <v>1000000000</v>
      </c>
      <c r="F5476" s="243">
        <v>998200000</v>
      </c>
      <c r="G5476" s="379">
        <f t="shared" si="337"/>
        <v>99.82</v>
      </c>
      <c r="H5476" s="379">
        <v>100</v>
      </c>
      <c r="I5476" s="111"/>
    </row>
    <row r="5477" spans="3:9" s="115" customFormat="1" ht="18.75" hidden="1" customHeight="1" x14ac:dyDescent="0.25">
      <c r="C5477" s="222"/>
      <c r="D5477" s="217" t="s">
        <v>3532</v>
      </c>
      <c r="E5477" s="112">
        <f>+E5478</f>
        <v>1347138600</v>
      </c>
      <c r="F5477" s="242">
        <f>F5478</f>
        <v>1339399000</v>
      </c>
      <c r="G5477" s="333">
        <f t="shared" si="337"/>
        <v>99.425478566199502</v>
      </c>
      <c r="H5477" s="333">
        <v>100</v>
      </c>
      <c r="I5477" s="121"/>
    </row>
    <row r="5478" spans="3:9" ht="16.5" hidden="1" customHeight="1" x14ac:dyDescent="0.25">
      <c r="C5478" s="222"/>
      <c r="D5478" s="32" t="s">
        <v>3854</v>
      </c>
      <c r="E5478" s="172">
        <v>1347138600</v>
      </c>
      <c r="F5478" s="243">
        <v>1339399000</v>
      </c>
      <c r="G5478" s="379">
        <f t="shared" si="337"/>
        <v>99.425478566199502</v>
      </c>
      <c r="H5478" s="379">
        <v>100</v>
      </c>
      <c r="I5478" s="111"/>
    </row>
    <row r="5479" spans="3:9" ht="16.5" hidden="1" customHeight="1" x14ac:dyDescent="0.25">
      <c r="C5479" s="222"/>
      <c r="D5479" s="234"/>
      <c r="E5479" s="172"/>
      <c r="F5479" s="108"/>
      <c r="G5479" s="114"/>
      <c r="H5479" s="114"/>
      <c r="I5479" s="111"/>
    </row>
    <row r="5480" spans="3:9" ht="16.5" hidden="1" customHeight="1" x14ac:dyDescent="0.25">
      <c r="C5480" s="222"/>
      <c r="D5480" s="48" t="s">
        <v>861</v>
      </c>
      <c r="E5480" s="112">
        <f>+E5481</f>
        <v>6000000000</v>
      </c>
      <c r="F5480" s="242">
        <f>F5481</f>
        <v>5995800000</v>
      </c>
      <c r="G5480" s="333">
        <f>F5480/E5480*100</f>
        <v>99.929999999999993</v>
      </c>
      <c r="H5480" s="333">
        <v>100</v>
      </c>
      <c r="I5480" s="111"/>
    </row>
    <row r="5481" spans="3:9" ht="16.5" hidden="1" customHeight="1" x14ac:dyDescent="0.25">
      <c r="C5481" s="222"/>
      <c r="D5481" s="48" t="s">
        <v>729</v>
      </c>
      <c r="E5481" s="112">
        <f>+E5482</f>
        <v>6000000000</v>
      </c>
      <c r="F5481" s="242">
        <f>F5482</f>
        <v>5995800000</v>
      </c>
      <c r="G5481" s="333">
        <f>F5481/E5481*100</f>
        <v>99.929999999999993</v>
      </c>
      <c r="H5481" s="333">
        <v>100</v>
      </c>
      <c r="I5481" s="111"/>
    </row>
    <row r="5482" spans="3:9" ht="16.5" hidden="1" customHeight="1" x14ac:dyDescent="0.25">
      <c r="C5482" s="222"/>
      <c r="D5482" s="32" t="s">
        <v>3855</v>
      </c>
      <c r="E5482" s="172">
        <v>6000000000</v>
      </c>
      <c r="F5482" s="243">
        <v>5995800000</v>
      </c>
      <c r="G5482" s="379">
        <f>F5482/E5482*100</f>
        <v>99.929999999999993</v>
      </c>
      <c r="H5482" s="379">
        <v>100</v>
      </c>
      <c r="I5482" s="111"/>
    </row>
    <row r="5483" spans="3:9" ht="10.5" hidden="1" customHeight="1" x14ac:dyDescent="0.25">
      <c r="C5483" s="222"/>
      <c r="D5483" s="234"/>
      <c r="E5483" s="172"/>
      <c r="F5483" s="108"/>
      <c r="G5483" s="117"/>
      <c r="H5483" s="114"/>
      <c r="I5483" s="111"/>
    </row>
    <row r="5484" spans="3:9" ht="16.5" hidden="1" customHeight="1" x14ac:dyDescent="0.25">
      <c r="C5484" s="222"/>
      <c r="D5484" s="48" t="s">
        <v>869</v>
      </c>
      <c r="E5484" s="112">
        <f>+E5485</f>
        <v>3000000000</v>
      </c>
      <c r="F5484" s="242">
        <f>F5485</f>
        <v>2998200000</v>
      </c>
      <c r="G5484" s="333">
        <f>F5484/E5484*100</f>
        <v>99.94</v>
      </c>
      <c r="H5484" s="333">
        <v>100</v>
      </c>
      <c r="I5484" s="111"/>
    </row>
    <row r="5485" spans="3:9" ht="16.5" hidden="1" customHeight="1" x14ac:dyDescent="0.25">
      <c r="C5485" s="222"/>
      <c r="D5485" s="48" t="s">
        <v>2851</v>
      </c>
      <c r="E5485" s="112">
        <f>+E5486+E5487</f>
        <v>3000000000</v>
      </c>
      <c r="F5485" s="242">
        <f>SUM(F5486:F5487)</f>
        <v>2998200000</v>
      </c>
      <c r="G5485" s="333">
        <f>F5485/E5485*100</f>
        <v>99.94</v>
      </c>
      <c r="H5485" s="333">
        <v>100</v>
      </c>
      <c r="I5485" s="111"/>
    </row>
    <row r="5486" spans="3:9" ht="16.5" hidden="1" customHeight="1" x14ac:dyDescent="0.25">
      <c r="C5486" s="222"/>
      <c r="D5486" s="32" t="s">
        <v>3856</v>
      </c>
      <c r="E5486" s="172">
        <v>2000000000</v>
      </c>
      <c r="F5486" s="243">
        <v>1998200000</v>
      </c>
      <c r="G5486" s="379">
        <f>F5486/E5486*100</f>
        <v>99.91</v>
      </c>
      <c r="H5486" s="379">
        <v>100</v>
      </c>
      <c r="I5486" s="111"/>
    </row>
    <row r="5487" spans="3:9" ht="16.5" hidden="1" customHeight="1" x14ac:dyDescent="0.25">
      <c r="C5487" s="222"/>
      <c r="D5487" s="32" t="s">
        <v>3857</v>
      </c>
      <c r="E5487" s="172">
        <v>1000000000</v>
      </c>
      <c r="F5487" s="243">
        <v>1000000000</v>
      </c>
      <c r="G5487" s="379">
        <f>F5487/E5487*100</f>
        <v>100</v>
      </c>
      <c r="H5487" s="379">
        <v>100</v>
      </c>
      <c r="I5487" s="111"/>
    </row>
    <row r="5488" spans="3:9" ht="10.5" hidden="1" customHeight="1" x14ac:dyDescent="0.25">
      <c r="C5488" s="222"/>
      <c r="D5488" s="234"/>
      <c r="E5488" s="172"/>
      <c r="F5488" s="108"/>
      <c r="G5488" s="117"/>
      <c r="H5488" s="114"/>
      <c r="I5488" s="111"/>
    </row>
    <row r="5489" spans="3:9" s="115" customFormat="1" ht="16.5" hidden="1" customHeight="1" x14ac:dyDescent="0.25">
      <c r="C5489" s="222"/>
      <c r="D5489" s="48" t="s">
        <v>298</v>
      </c>
      <c r="E5489" s="112">
        <f>+E5490+E5492</f>
        <v>1500000000</v>
      </c>
      <c r="F5489" s="242">
        <f>F5490+F5492</f>
        <v>1496080000</v>
      </c>
      <c r="G5489" s="333">
        <f t="shared" ref="G5489:G5494" si="338">F5489/E5489*100</f>
        <v>99.73866666666666</v>
      </c>
      <c r="H5489" s="333">
        <v>100</v>
      </c>
      <c r="I5489" s="121"/>
    </row>
    <row r="5490" spans="3:9" s="115" customFormat="1" ht="16.5" hidden="1" customHeight="1" x14ac:dyDescent="0.25">
      <c r="C5490" s="222"/>
      <c r="D5490" s="48" t="s">
        <v>299</v>
      </c>
      <c r="E5490" s="112">
        <f>+E5491</f>
        <v>500000000</v>
      </c>
      <c r="F5490" s="242">
        <f>F5491</f>
        <v>496080000</v>
      </c>
      <c r="G5490" s="333">
        <f t="shared" si="338"/>
        <v>99.216000000000008</v>
      </c>
      <c r="H5490" s="379">
        <v>100</v>
      </c>
      <c r="I5490" s="121"/>
    </row>
    <row r="5491" spans="3:9" ht="16.5" hidden="1" customHeight="1" x14ac:dyDescent="0.25">
      <c r="C5491" s="222"/>
      <c r="D5491" s="32" t="s">
        <v>1254</v>
      </c>
      <c r="E5491" s="172">
        <v>500000000</v>
      </c>
      <c r="F5491" s="243">
        <v>496080000</v>
      </c>
      <c r="G5491" s="379">
        <f t="shared" si="338"/>
        <v>99.216000000000008</v>
      </c>
      <c r="H5491" s="379">
        <v>100</v>
      </c>
      <c r="I5491" s="111"/>
    </row>
    <row r="5492" spans="3:9" s="115" customFormat="1" ht="16.5" hidden="1" customHeight="1" x14ac:dyDescent="0.25">
      <c r="C5492" s="222"/>
      <c r="D5492" s="48" t="s">
        <v>2105</v>
      </c>
      <c r="E5492" s="112">
        <f>+E5493+E5494</f>
        <v>1000000000</v>
      </c>
      <c r="F5492" s="242">
        <f>SUM(F5493:F5494)</f>
        <v>1000000000</v>
      </c>
      <c r="G5492" s="333">
        <f t="shared" si="338"/>
        <v>100</v>
      </c>
      <c r="H5492" s="333">
        <v>100</v>
      </c>
      <c r="I5492" s="121"/>
    </row>
    <row r="5493" spans="3:9" ht="16.5" hidden="1" customHeight="1" x14ac:dyDescent="0.25">
      <c r="C5493" s="222"/>
      <c r="D5493" s="32" t="s">
        <v>2106</v>
      </c>
      <c r="E5493" s="172">
        <v>700000000</v>
      </c>
      <c r="F5493" s="243">
        <v>700000000</v>
      </c>
      <c r="G5493" s="379">
        <f t="shared" si="338"/>
        <v>100</v>
      </c>
      <c r="H5493" s="379">
        <v>100</v>
      </c>
      <c r="I5493" s="111"/>
    </row>
    <row r="5494" spans="3:9" ht="16.5" hidden="1" customHeight="1" x14ac:dyDescent="0.25">
      <c r="C5494" s="222"/>
      <c r="D5494" s="32" t="s">
        <v>3858</v>
      </c>
      <c r="E5494" s="172">
        <v>300000000</v>
      </c>
      <c r="F5494" s="243">
        <v>300000000</v>
      </c>
      <c r="G5494" s="379">
        <f t="shared" si="338"/>
        <v>100</v>
      </c>
      <c r="H5494" s="379">
        <v>100</v>
      </c>
      <c r="I5494" s="111"/>
    </row>
    <row r="5495" spans="3:9" ht="8.25" hidden="1" customHeight="1" x14ac:dyDescent="0.25">
      <c r="C5495" s="222"/>
      <c r="D5495" s="234"/>
      <c r="E5495" s="172"/>
      <c r="F5495" s="108"/>
      <c r="G5495" s="117"/>
      <c r="H5495" s="114"/>
      <c r="I5495" s="111"/>
    </row>
    <row r="5496" spans="3:9" s="115" customFormat="1" ht="16.5" hidden="1" customHeight="1" x14ac:dyDescent="0.25">
      <c r="C5496" s="222"/>
      <c r="D5496" s="48" t="s">
        <v>864</v>
      </c>
      <c r="E5496" s="112">
        <f>+E5497+E5499</f>
        <v>5254142250</v>
      </c>
      <c r="F5496" s="242">
        <f>F5497+F5499</f>
        <v>4783210906</v>
      </c>
      <c r="G5496" s="333">
        <f>F5496/E5496*100</f>
        <v>91.036951007559793</v>
      </c>
      <c r="H5496" s="333">
        <v>100</v>
      </c>
      <c r="I5496" s="121"/>
    </row>
    <row r="5497" spans="3:9" ht="35.25" hidden="1" customHeight="1" x14ac:dyDescent="0.25">
      <c r="C5497" s="222"/>
      <c r="D5497" s="217" t="s">
        <v>259</v>
      </c>
      <c r="E5497" s="112">
        <f>+E5498</f>
        <v>500000000</v>
      </c>
      <c r="F5497" s="242">
        <f>F5498</f>
        <v>500000000</v>
      </c>
      <c r="G5497" s="333">
        <f>F5497/E5497*100</f>
        <v>100</v>
      </c>
      <c r="H5497" s="333">
        <v>100</v>
      </c>
      <c r="I5497" s="111"/>
    </row>
    <row r="5498" spans="3:9" ht="16.5" hidden="1" customHeight="1" x14ac:dyDescent="0.25">
      <c r="C5498" s="222"/>
      <c r="D5498" s="32" t="s">
        <v>3859</v>
      </c>
      <c r="E5498" s="172">
        <v>500000000</v>
      </c>
      <c r="F5498" s="243">
        <v>500000000</v>
      </c>
      <c r="G5498" s="379">
        <f>F5498/E5498*100</f>
        <v>100</v>
      </c>
      <c r="H5498" s="379">
        <v>100</v>
      </c>
      <c r="I5498" s="111"/>
    </row>
    <row r="5499" spans="3:9" ht="16.5" hidden="1" customHeight="1" x14ac:dyDescent="0.25">
      <c r="C5499" s="222"/>
      <c r="D5499" s="48" t="s">
        <v>2652</v>
      </c>
      <c r="E5499" s="112">
        <f>+E5500</f>
        <v>4754142250</v>
      </c>
      <c r="F5499" s="242">
        <f>F5500</f>
        <v>4283210906</v>
      </c>
      <c r="G5499" s="333">
        <f>F5500/E5499*100</f>
        <v>90.094294212589034</v>
      </c>
      <c r="H5499" s="333">
        <v>100</v>
      </c>
      <c r="I5499" s="111"/>
    </row>
    <row r="5500" spans="3:9" ht="16.5" hidden="1" customHeight="1" x14ac:dyDescent="0.25">
      <c r="C5500" s="222"/>
      <c r="D5500" s="32" t="s">
        <v>3860</v>
      </c>
      <c r="E5500" s="172">
        <v>4754142250</v>
      </c>
      <c r="F5500" s="243">
        <v>4283210906</v>
      </c>
      <c r="G5500" s="379">
        <f>F5500/E5500*100</f>
        <v>90.094294212589034</v>
      </c>
      <c r="H5500" s="379">
        <v>100</v>
      </c>
      <c r="I5500" s="111"/>
    </row>
    <row r="5501" spans="3:9" ht="9" hidden="1" customHeight="1" x14ac:dyDescent="0.25">
      <c r="C5501" s="222"/>
      <c r="D5501" s="234"/>
      <c r="E5501" s="172"/>
      <c r="F5501" s="108"/>
      <c r="G5501" s="117"/>
      <c r="H5501" s="114"/>
      <c r="I5501" s="111"/>
    </row>
    <row r="5502" spans="3:9" s="115" customFormat="1" ht="16.5" hidden="1" customHeight="1" x14ac:dyDescent="0.25">
      <c r="C5502" s="222"/>
      <c r="D5502" s="48" t="s">
        <v>630</v>
      </c>
      <c r="E5502" s="112">
        <f>+E5503+E5505</f>
        <v>2084714000</v>
      </c>
      <c r="F5502" s="242">
        <f>F5503+F5505</f>
        <v>2084714000</v>
      </c>
      <c r="G5502" s="333">
        <f>F5502/E5502*100</f>
        <v>100</v>
      </c>
      <c r="H5502" s="333">
        <v>100</v>
      </c>
      <c r="I5502" s="121"/>
    </row>
    <row r="5503" spans="3:9" s="115" customFormat="1" ht="16.5" hidden="1" customHeight="1" x14ac:dyDescent="0.25">
      <c r="C5503" s="222"/>
      <c r="D5503" s="48" t="s">
        <v>792</v>
      </c>
      <c r="E5503" s="112">
        <f>+E5504</f>
        <v>1700000000</v>
      </c>
      <c r="F5503" s="242">
        <f>F5504</f>
        <v>1700000000</v>
      </c>
      <c r="G5503" s="333">
        <f>F5503/E5503*100</f>
        <v>100</v>
      </c>
      <c r="H5503" s="333">
        <v>100</v>
      </c>
      <c r="I5503" s="121"/>
    </row>
    <row r="5504" spans="3:9" ht="16.5" hidden="1" customHeight="1" x14ac:dyDescent="0.25">
      <c r="C5504" s="222"/>
      <c r="D5504" s="32" t="s">
        <v>505</v>
      </c>
      <c r="E5504" s="172">
        <v>1700000000</v>
      </c>
      <c r="F5504" s="243">
        <v>1700000000</v>
      </c>
      <c r="G5504" s="379">
        <f>F5504/E5504*100</f>
        <v>100</v>
      </c>
      <c r="H5504" s="379">
        <v>100</v>
      </c>
      <c r="I5504" s="111"/>
    </row>
    <row r="5505" spans="3:9" s="115" customFormat="1" ht="16.5" hidden="1" customHeight="1" x14ac:dyDescent="0.25">
      <c r="C5505" s="222"/>
      <c r="D5505" s="48" t="s">
        <v>3861</v>
      </c>
      <c r="E5505" s="112">
        <f>+E5506</f>
        <v>384714000</v>
      </c>
      <c r="F5505" s="242">
        <f>F5506</f>
        <v>384714000</v>
      </c>
      <c r="G5505" s="333">
        <f>F5505/E5505*100</f>
        <v>100</v>
      </c>
      <c r="H5505" s="333">
        <v>100</v>
      </c>
      <c r="I5505" s="121"/>
    </row>
    <row r="5506" spans="3:9" ht="16.5" hidden="1" customHeight="1" x14ac:dyDescent="0.25">
      <c r="C5506" s="222"/>
      <c r="D5506" s="32" t="s">
        <v>3862</v>
      </c>
      <c r="E5506" s="172">
        <v>384714000</v>
      </c>
      <c r="F5506" s="243">
        <v>384714000</v>
      </c>
      <c r="G5506" s="379">
        <f>F5506/E5506*100</f>
        <v>100</v>
      </c>
      <c r="H5506" s="379">
        <v>100</v>
      </c>
      <c r="I5506" s="111"/>
    </row>
    <row r="5507" spans="3:9" ht="10.5" hidden="1" customHeight="1" x14ac:dyDescent="0.25">
      <c r="C5507" s="222"/>
      <c r="D5507" s="234"/>
      <c r="E5507" s="172"/>
      <c r="F5507" s="108"/>
      <c r="G5507" s="117"/>
      <c r="H5507" s="114"/>
      <c r="I5507" s="111"/>
    </row>
    <row r="5508" spans="3:9" s="115" customFormat="1" ht="16.5" hidden="1" customHeight="1" x14ac:dyDescent="0.25">
      <c r="C5508" s="222"/>
      <c r="D5508" s="48" t="s">
        <v>1265</v>
      </c>
      <c r="E5508" s="112">
        <f>+E5509</f>
        <v>584713000</v>
      </c>
      <c r="F5508" s="242">
        <f>F5509</f>
        <v>584713000</v>
      </c>
      <c r="G5508" s="333">
        <f>F5508/E5508*100</f>
        <v>100</v>
      </c>
      <c r="H5508" s="333">
        <v>100</v>
      </c>
      <c r="I5508" s="121"/>
    </row>
    <row r="5509" spans="3:9" s="115" customFormat="1" ht="16.5" hidden="1" customHeight="1" x14ac:dyDescent="0.25">
      <c r="C5509" s="222"/>
      <c r="D5509" s="48" t="s">
        <v>874</v>
      </c>
      <c r="E5509" s="112">
        <f>+E5510+E5511</f>
        <v>584713000</v>
      </c>
      <c r="F5509" s="242">
        <f>F5510+F5511</f>
        <v>584713000</v>
      </c>
      <c r="G5509" s="333">
        <f>F5509/E5509*100</f>
        <v>100</v>
      </c>
      <c r="H5509" s="333">
        <v>100</v>
      </c>
      <c r="I5509" s="121"/>
    </row>
    <row r="5510" spans="3:9" ht="16.5" hidden="1" customHeight="1" x14ac:dyDescent="0.25">
      <c r="C5510" s="222"/>
      <c r="D5510" s="32" t="s">
        <v>3863</v>
      </c>
      <c r="E5510" s="172">
        <v>250000000</v>
      </c>
      <c r="F5510" s="243">
        <v>250000000</v>
      </c>
      <c r="G5510" s="379">
        <f>F5510/E5510*100</f>
        <v>100</v>
      </c>
      <c r="H5510" s="379">
        <v>100</v>
      </c>
      <c r="I5510" s="111"/>
    </row>
    <row r="5511" spans="3:9" ht="16.5" hidden="1" customHeight="1" x14ac:dyDescent="0.25">
      <c r="C5511" s="222"/>
      <c r="D5511" s="32" t="s">
        <v>3864</v>
      </c>
      <c r="E5511" s="172">
        <v>334713000</v>
      </c>
      <c r="F5511" s="243">
        <v>334713000</v>
      </c>
      <c r="G5511" s="379">
        <f>F5511/E5511*100</f>
        <v>100</v>
      </c>
      <c r="H5511" s="379">
        <v>100</v>
      </c>
      <c r="I5511" s="111"/>
    </row>
    <row r="5512" spans="3:9" ht="16.5" hidden="1" customHeight="1" x14ac:dyDescent="0.25">
      <c r="C5512" s="222"/>
      <c r="D5512" s="234"/>
      <c r="E5512" s="172"/>
      <c r="F5512" s="108"/>
      <c r="G5512" s="117"/>
      <c r="H5512" s="114"/>
      <c r="I5512" s="111"/>
    </row>
    <row r="5513" spans="3:9" s="115" customFormat="1" ht="16.5" hidden="1" customHeight="1" x14ac:dyDescent="0.25">
      <c r="C5513" s="222"/>
      <c r="D5513" s="48" t="s">
        <v>274</v>
      </c>
      <c r="E5513" s="112">
        <f>+E5514</f>
        <v>500000000</v>
      </c>
      <c r="F5513" s="113">
        <f>+F5514</f>
        <v>500000000</v>
      </c>
      <c r="G5513" s="382">
        <f>+F5513/E5513*100</f>
        <v>100</v>
      </c>
      <c r="H5513" s="114">
        <v>100</v>
      </c>
      <c r="I5513" s="121"/>
    </row>
    <row r="5514" spans="3:9" s="115" customFormat="1" ht="16.5" hidden="1" customHeight="1" x14ac:dyDescent="0.25">
      <c r="C5514" s="222"/>
      <c r="D5514" s="48" t="s">
        <v>275</v>
      </c>
      <c r="E5514" s="112">
        <f>+E5515</f>
        <v>500000000</v>
      </c>
      <c r="F5514" s="113">
        <f>+F5515</f>
        <v>500000000</v>
      </c>
      <c r="G5514" s="382">
        <f>+F5514/E5514*100</f>
        <v>100</v>
      </c>
      <c r="H5514" s="114">
        <v>100</v>
      </c>
      <c r="I5514" s="121"/>
    </row>
    <row r="5515" spans="3:9" ht="16.5" hidden="1" customHeight="1" x14ac:dyDescent="0.25">
      <c r="C5515" s="222"/>
      <c r="D5515" s="32" t="s">
        <v>3213</v>
      </c>
      <c r="E5515" s="172">
        <v>500000000</v>
      </c>
      <c r="F5515" s="108">
        <v>500000000</v>
      </c>
      <c r="G5515" s="365">
        <f>F5515/E5515*100</f>
        <v>100</v>
      </c>
      <c r="H5515" s="114">
        <v>100</v>
      </c>
      <c r="I5515" s="111"/>
    </row>
    <row r="5516" spans="3:9" ht="16.5" hidden="1" customHeight="1" x14ac:dyDescent="0.25">
      <c r="C5516" s="222"/>
      <c r="D5516" s="48"/>
      <c r="E5516" s="107"/>
      <c r="F5516" s="108"/>
      <c r="G5516" s="117"/>
      <c r="H5516" s="117"/>
      <c r="I5516" s="111"/>
    </row>
    <row r="5517" spans="3:9" s="115" customFormat="1" ht="16.5" customHeight="1" x14ac:dyDescent="0.25">
      <c r="C5517" s="222" t="s">
        <v>3865</v>
      </c>
      <c r="D5517" s="48" t="s">
        <v>3866</v>
      </c>
      <c r="E5517" s="168">
        <f>+E5519+E5554+E5593+E5612+E5621+E5625+E5643+E5647+E5651+E5661+E5665+E5691+E5712+E5718</f>
        <v>95555051000</v>
      </c>
      <c r="F5517" s="113">
        <f>+F5519+F5554+F5593+F5612+F5626+F5643+F5647+F5651+F5661+F5665+F5691+F5718+F5712</f>
        <v>91358962424</v>
      </c>
      <c r="G5517" s="114">
        <f>+F5517/E5517*100</f>
        <v>95.608721326515749</v>
      </c>
      <c r="H5517" s="114">
        <f>(H5519+H5554+H5594+H5612+H5621+H5626+H5643+H5647+H5651+H5661+H5665++H5691+H5712+H5718)/14</f>
        <v>99.460343915343927</v>
      </c>
      <c r="I5517" s="121"/>
    </row>
    <row r="5518" spans="3:9" ht="16.5" hidden="1" customHeight="1" x14ac:dyDescent="0.25">
      <c r="C5518" s="226"/>
      <c r="D5518" s="48" t="s">
        <v>3867</v>
      </c>
      <c r="E5518" s="120">
        <f>E5519</f>
        <v>15450426225</v>
      </c>
      <c r="F5518" s="108">
        <f>+F5519</f>
        <v>14082138000</v>
      </c>
      <c r="G5518" s="117"/>
      <c r="H5518" s="114"/>
      <c r="I5518" s="111"/>
    </row>
    <row r="5519" spans="3:9" s="115" customFormat="1" ht="16.5" hidden="1" customHeight="1" x14ac:dyDescent="0.25">
      <c r="C5519" s="222"/>
      <c r="D5519" s="48" t="s">
        <v>678</v>
      </c>
      <c r="E5519" s="120">
        <f>E5520+E5524+E5534+E5536+E5546+E5549</f>
        <v>15450426225</v>
      </c>
      <c r="F5519" s="242">
        <f>F5520+F5524+F5534+F5536+F5546+F5549</f>
        <v>14082138000</v>
      </c>
      <c r="G5519" s="333">
        <f t="shared" ref="G5519:G5551" si="339">(F5519/E5519)*100</f>
        <v>91.144009847534164</v>
      </c>
      <c r="H5519" s="110">
        <f>SUM(H5520+H5524+H5534+H5536+H5546+H5549)/6</f>
        <v>95.768148148148157</v>
      </c>
      <c r="I5519" s="121"/>
    </row>
    <row r="5520" spans="3:9" s="115" customFormat="1" ht="16.5" hidden="1" customHeight="1" x14ac:dyDescent="0.25">
      <c r="C5520" s="222"/>
      <c r="D5520" s="217" t="s">
        <v>797</v>
      </c>
      <c r="E5520" s="120">
        <f>SUM(E5521:E5523)</f>
        <v>6223973110</v>
      </c>
      <c r="F5520" s="242">
        <f>SUM(F5521:F5523)</f>
        <v>6102788000</v>
      </c>
      <c r="G5520" s="333">
        <f t="shared" si="339"/>
        <v>98.052930051942326</v>
      </c>
      <c r="H5520" s="110">
        <f>SUM(H5521:H5523)/3</f>
        <v>100</v>
      </c>
      <c r="I5520" s="121"/>
    </row>
    <row r="5521" spans="3:9" ht="16.5" hidden="1" customHeight="1" x14ac:dyDescent="0.25">
      <c r="C5521" s="226"/>
      <c r="D5521" s="119" t="s">
        <v>3298</v>
      </c>
      <c r="E5521" s="107">
        <v>1000000000</v>
      </c>
      <c r="F5521" s="243">
        <v>988030000</v>
      </c>
      <c r="G5521" s="379">
        <f t="shared" si="339"/>
        <v>98.802999999999997</v>
      </c>
      <c r="H5521" s="235">
        <v>100</v>
      </c>
      <c r="I5521" s="111"/>
    </row>
    <row r="5522" spans="3:9" ht="16.5" hidden="1" customHeight="1" x14ac:dyDescent="0.25">
      <c r="C5522" s="226"/>
      <c r="D5522" s="119" t="s">
        <v>3868</v>
      </c>
      <c r="E5522" s="107">
        <v>4000000000</v>
      </c>
      <c r="F5522" s="243">
        <v>3916880000</v>
      </c>
      <c r="G5522" s="379">
        <f t="shared" si="339"/>
        <v>97.921999999999997</v>
      </c>
      <c r="H5522" s="235">
        <v>100</v>
      </c>
      <c r="I5522" s="111"/>
    </row>
    <row r="5523" spans="3:9" ht="16.5" hidden="1" customHeight="1" x14ac:dyDescent="0.25">
      <c r="C5523" s="226"/>
      <c r="D5523" s="119" t="s">
        <v>3869</v>
      </c>
      <c r="E5523" s="107">
        <v>1223973110</v>
      </c>
      <c r="F5523" s="243">
        <v>1197878000</v>
      </c>
      <c r="G5523" s="379">
        <f t="shared" si="339"/>
        <v>97.867999730811079</v>
      </c>
      <c r="H5523" s="235">
        <v>100</v>
      </c>
      <c r="I5523" s="111"/>
    </row>
    <row r="5524" spans="3:9" s="115" customFormat="1" ht="16.5" hidden="1" customHeight="1" x14ac:dyDescent="0.25">
      <c r="C5524" s="222"/>
      <c r="D5524" s="217" t="s">
        <v>680</v>
      </c>
      <c r="E5524" s="120">
        <f>SUM(E5525:E5533)</f>
        <v>6257928115</v>
      </c>
      <c r="F5524" s="242">
        <f>SUM(F5525:F5533)</f>
        <v>5715731000</v>
      </c>
      <c r="G5524" s="333">
        <f t="shared" si="339"/>
        <v>91.335836637362846</v>
      </c>
      <c r="H5524" s="110">
        <f>SUM(H5525:H5533)/9</f>
        <v>96.831111111111113</v>
      </c>
      <c r="I5524" s="121"/>
    </row>
    <row r="5525" spans="3:9" ht="16.5" hidden="1" customHeight="1" x14ac:dyDescent="0.25">
      <c r="C5525" s="226"/>
      <c r="D5525" s="119" t="s">
        <v>3870</v>
      </c>
      <c r="E5525" s="107">
        <v>3450000000</v>
      </c>
      <c r="F5525" s="243">
        <v>3204380000</v>
      </c>
      <c r="G5525" s="379">
        <f t="shared" si="339"/>
        <v>92.880579710144929</v>
      </c>
      <c r="H5525" s="235">
        <v>100</v>
      </c>
      <c r="I5525" s="111"/>
    </row>
    <row r="5526" spans="3:9" ht="18.75" hidden="1" customHeight="1" x14ac:dyDescent="0.25">
      <c r="C5526" s="226"/>
      <c r="D5526" s="119" t="s">
        <v>3871</v>
      </c>
      <c r="E5526" s="107">
        <v>189747385</v>
      </c>
      <c r="F5526" s="243">
        <v>188830000</v>
      </c>
      <c r="G5526" s="379">
        <f t="shared" si="339"/>
        <v>99.516522981331207</v>
      </c>
      <c r="H5526" s="235">
        <v>100</v>
      </c>
      <c r="I5526" s="111"/>
    </row>
    <row r="5527" spans="3:9" ht="18.75" hidden="1" customHeight="1" x14ac:dyDescent="0.25">
      <c r="C5527" s="226"/>
      <c r="D5527" s="119" t="s">
        <v>3872</v>
      </c>
      <c r="E5527" s="107">
        <v>550000000</v>
      </c>
      <c r="F5527" s="243">
        <v>540400000</v>
      </c>
      <c r="G5527" s="379">
        <f t="shared" si="339"/>
        <v>98.25454545454545</v>
      </c>
      <c r="H5527" s="235">
        <v>100</v>
      </c>
      <c r="I5527" s="111"/>
    </row>
    <row r="5528" spans="3:9" ht="16.5" hidden="1" customHeight="1" x14ac:dyDescent="0.25">
      <c r="C5528" s="226"/>
      <c r="D5528" s="119" t="s">
        <v>3873</v>
      </c>
      <c r="E5528" s="107">
        <v>200000000</v>
      </c>
      <c r="F5528" s="243">
        <v>199405000</v>
      </c>
      <c r="G5528" s="379">
        <f t="shared" si="339"/>
        <v>99.702500000000001</v>
      </c>
      <c r="H5528" s="235">
        <v>100</v>
      </c>
      <c r="I5528" s="111"/>
    </row>
    <row r="5529" spans="3:9" ht="16.5" hidden="1" customHeight="1" x14ac:dyDescent="0.25">
      <c r="C5529" s="226"/>
      <c r="D5529" s="119" t="s">
        <v>3874</v>
      </c>
      <c r="E5529" s="107">
        <v>400000000</v>
      </c>
      <c r="F5529" s="243">
        <v>397610000</v>
      </c>
      <c r="G5529" s="379">
        <f t="shared" si="339"/>
        <v>99.402500000000003</v>
      </c>
      <c r="H5529" s="235">
        <v>100</v>
      </c>
      <c r="I5529" s="111"/>
    </row>
    <row r="5530" spans="3:9" ht="16.5" hidden="1" customHeight="1" x14ac:dyDescent="0.25">
      <c r="C5530" s="226"/>
      <c r="D5530" s="119" t="s">
        <v>3875</v>
      </c>
      <c r="E5530" s="107">
        <v>118180730</v>
      </c>
      <c r="F5530" s="243">
        <v>117326000</v>
      </c>
      <c r="G5530" s="379">
        <f t="shared" si="339"/>
        <v>99.27676026370797</v>
      </c>
      <c r="H5530" s="235">
        <v>100</v>
      </c>
      <c r="I5530" s="111"/>
    </row>
    <row r="5531" spans="3:9" ht="16.5" hidden="1" customHeight="1" x14ac:dyDescent="0.25">
      <c r="C5531" s="226"/>
      <c r="D5531" s="119" t="s">
        <v>3876</v>
      </c>
      <c r="E5531" s="107">
        <v>500000000</v>
      </c>
      <c r="F5531" s="243">
        <v>497960000</v>
      </c>
      <c r="G5531" s="379">
        <f t="shared" si="339"/>
        <v>99.591999999999999</v>
      </c>
      <c r="H5531" s="235">
        <v>100</v>
      </c>
      <c r="I5531" s="111"/>
    </row>
    <row r="5532" spans="3:9" ht="34.5" hidden="1" customHeight="1" x14ac:dyDescent="0.25">
      <c r="C5532" s="226"/>
      <c r="D5532" s="119" t="s">
        <v>3877</v>
      </c>
      <c r="E5532" s="107">
        <v>500000000</v>
      </c>
      <c r="F5532" s="243">
        <v>219820000</v>
      </c>
      <c r="G5532" s="379">
        <f t="shared" si="339"/>
        <v>43.963999999999999</v>
      </c>
      <c r="H5532" s="235">
        <v>71.48</v>
      </c>
      <c r="I5532" s="111"/>
    </row>
    <row r="5533" spans="3:9" ht="34.5" hidden="1" customHeight="1" x14ac:dyDescent="0.25">
      <c r="C5533" s="226"/>
      <c r="D5533" s="119" t="s">
        <v>3878</v>
      </c>
      <c r="E5533" s="107">
        <v>350000000</v>
      </c>
      <c r="F5533" s="243">
        <v>350000000</v>
      </c>
      <c r="G5533" s="379">
        <f t="shared" si="339"/>
        <v>100</v>
      </c>
      <c r="H5533" s="235">
        <v>100</v>
      </c>
      <c r="I5533" s="111"/>
    </row>
    <row r="5534" spans="3:9" s="115" customFormat="1" ht="16.5" hidden="1" customHeight="1" x14ac:dyDescent="0.25">
      <c r="C5534" s="222"/>
      <c r="D5534" s="48" t="s">
        <v>693</v>
      </c>
      <c r="E5534" s="120">
        <f>SUM(E5535:E5535)</f>
        <v>250000000</v>
      </c>
      <c r="F5534" s="242">
        <f>SUM(F5535:F5535)</f>
        <v>247332000</v>
      </c>
      <c r="G5534" s="333">
        <f t="shared" si="339"/>
        <v>98.9328</v>
      </c>
      <c r="H5534" s="110">
        <f>H5535/1</f>
        <v>100</v>
      </c>
      <c r="I5534" s="121"/>
    </row>
    <row r="5535" spans="3:9" ht="34.5" hidden="1" customHeight="1" x14ac:dyDescent="0.25">
      <c r="C5535" s="226"/>
      <c r="D5535" s="119" t="s">
        <v>3879</v>
      </c>
      <c r="E5535" s="107">
        <v>250000000</v>
      </c>
      <c r="F5535" s="243">
        <v>247332000</v>
      </c>
      <c r="G5535" s="379">
        <f t="shared" si="339"/>
        <v>98.9328</v>
      </c>
      <c r="H5535" s="235">
        <v>100</v>
      </c>
      <c r="I5535" s="111"/>
    </row>
    <row r="5536" spans="3:9" s="115" customFormat="1" ht="16.5" hidden="1" customHeight="1" x14ac:dyDescent="0.25">
      <c r="C5536" s="222"/>
      <c r="D5536" s="48" t="s">
        <v>92</v>
      </c>
      <c r="E5536" s="120">
        <f>SUM(E5537:E5545)</f>
        <v>2300000000</v>
      </c>
      <c r="F5536" s="242">
        <f>SUM(F5537:F5545)</f>
        <v>1600000000</v>
      </c>
      <c r="G5536" s="333">
        <f t="shared" si="339"/>
        <v>69.565217391304344</v>
      </c>
      <c r="H5536" s="110">
        <f>SUM(H5537:H5545)/9</f>
        <v>77.777777777777771</v>
      </c>
      <c r="I5536" s="121"/>
    </row>
    <row r="5537" spans="3:9" ht="18.75" hidden="1" customHeight="1" x14ac:dyDescent="0.25">
      <c r="C5537" s="226"/>
      <c r="D5537" s="119" t="s">
        <v>3880</v>
      </c>
      <c r="E5537" s="107">
        <v>100000000</v>
      </c>
      <c r="F5537" s="243">
        <v>100000000</v>
      </c>
      <c r="G5537" s="379">
        <f t="shared" si="339"/>
        <v>100</v>
      </c>
      <c r="H5537" s="235">
        <v>100</v>
      </c>
      <c r="I5537" s="111"/>
    </row>
    <row r="5538" spans="3:9" ht="16.5" hidden="1" customHeight="1" x14ac:dyDescent="0.25">
      <c r="C5538" s="226"/>
      <c r="D5538" s="119" t="s">
        <v>3881</v>
      </c>
      <c r="E5538" s="107">
        <v>300000000</v>
      </c>
      <c r="F5538" s="243">
        <v>300000000</v>
      </c>
      <c r="G5538" s="379">
        <f t="shared" si="339"/>
        <v>100</v>
      </c>
      <c r="H5538" s="235">
        <v>100</v>
      </c>
      <c r="I5538" s="111"/>
    </row>
    <row r="5539" spans="3:9" ht="16.5" hidden="1" customHeight="1" x14ac:dyDescent="0.25">
      <c r="C5539" s="226"/>
      <c r="D5539" s="119" t="s">
        <v>3882</v>
      </c>
      <c r="E5539" s="107">
        <v>300000000</v>
      </c>
      <c r="F5539" s="243">
        <v>300000000</v>
      </c>
      <c r="G5539" s="379">
        <f t="shared" si="339"/>
        <v>100</v>
      </c>
      <c r="H5539" s="235">
        <v>100</v>
      </c>
      <c r="I5539" s="111"/>
    </row>
    <row r="5540" spans="3:9" ht="16.5" hidden="1" customHeight="1" x14ac:dyDescent="0.25">
      <c r="C5540" s="226"/>
      <c r="D5540" s="119" t="s">
        <v>3883</v>
      </c>
      <c r="E5540" s="107">
        <v>100000000</v>
      </c>
      <c r="F5540" s="243">
        <v>100000000</v>
      </c>
      <c r="G5540" s="379">
        <f t="shared" si="339"/>
        <v>100</v>
      </c>
      <c r="H5540" s="235">
        <v>100</v>
      </c>
      <c r="I5540" s="111"/>
    </row>
    <row r="5541" spans="3:9" ht="16.5" hidden="1" customHeight="1" x14ac:dyDescent="0.25">
      <c r="C5541" s="226"/>
      <c r="D5541" s="119" t="s">
        <v>3884</v>
      </c>
      <c r="E5541" s="107">
        <v>200000000</v>
      </c>
      <c r="F5541" s="243">
        <v>200000000</v>
      </c>
      <c r="G5541" s="379">
        <f t="shared" si="339"/>
        <v>100</v>
      </c>
      <c r="H5541" s="235">
        <v>100</v>
      </c>
      <c r="I5541" s="111"/>
    </row>
    <row r="5542" spans="3:9" ht="34.5" hidden="1" customHeight="1" x14ac:dyDescent="0.25">
      <c r="C5542" s="226"/>
      <c r="D5542" s="119" t="s">
        <v>3885</v>
      </c>
      <c r="E5542" s="107">
        <v>350000000</v>
      </c>
      <c r="F5542" s="243">
        <v>350000000</v>
      </c>
      <c r="G5542" s="379">
        <f t="shared" si="339"/>
        <v>100</v>
      </c>
      <c r="H5542" s="235">
        <v>100</v>
      </c>
      <c r="I5542" s="111"/>
    </row>
    <row r="5543" spans="3:9" ht="18.75" hidden="1" customHeight="1" x14ac:dyDescent="0.25">
      <c r="C5543" s="226"/>
      <c r="D5543" s="119" t="s">
        <v>3886</v>
      </c>
      <c r="E5543" s="107">
        <v>250000000</v>
      </c>
      <c r="F5543" s="243">
        <v>250000000</v>
      </c>
      <c r="G5543" s="379">
        <f t="shared" si="339"/>
        <v>100</v>
      </c>
      <c r="H5543" s="235">
        <v>100</v>
      </c>
      <c r="I5543" s="111"/>
    </row>
    <row r="5544" spans="3:9" ht="34.5" hidden="1" customHeight="1" x14ac:dyDescent="0.25">
      <c r="C5544" s="226"/>
      <c r="D5544" s="119" t="s">
        <v>3887</v>
      </c>
      <c r="E5544" s="107">
        <v>300000000</v>
      </c>
      <c r="F5544" s="243">
        <v>0</v>
      </c>
      <c r="G5544" s="379">
        <f t="shared" si="339"/>
        <v>0</v>
      </c>
      <c r="H5544" s="235">
        <v>0</v>
      </c>
      <c r="I5544" s="111"/>
    </row>
    <row r="5545" spans="3:9" ht="34.5" hidden="1" customHeight="1" x14ac:dyDescent="0.25">
      <c r="C5545" s="226"/>
      <c r="D5545" s="119" t="s">
        <v>3888</v>
      </c>
      <c r="E5545" s="107">
        <v>400000000</v>
      </c>
      <c r="F5545" s="243">
        <v>0</v>
      </c>
      <c r="G5545" s="379">
        <f t="shared" si="339"/>
        <v>0</v>
      </c>
      <c r="H5545" s="235">
        <v>0</v>
      </c>
      <c r="I5545" s="111"/>
    </row>
    <row r="5546" spans="3:9" s="115" customFormat="1" ht="16.5" hidden="1" customHeight="1" x14ac:dyDescent="0.25">
      <c r="C5546" s="222"/>
      <c r="D5546" s="217" t="s">
        <v>100</v>
      </c>
      <c r="E5546" s="120">
        <f>SUM(E5547:E5548)</f>
        <v>18525000</v>
      </c>
      <c r="F5546" s="242">
        <f>SUM(F5547:F5548)</f>
        <v>18525000</v>
      </c>
      <c r="G5546" s="333">
        <f t="shared" si="339"/>
        <v>100</v>
      </c>
      <c r="H5546" s="110">
        <f>SUM(H5547:H5548)/2</f>
        <v>100</v>
      </c>
      <c r="I5546" s="121"/>
    </row>
    <row r="5547" spans="3:9" ht="16.5" hidden="1" customHeight="1" x14ac:dyDescent="0.25">
      <c r="C5547" s="226"/>
      <c r="D5547" s="119" t="s">
        <v>3889</v>
      </c>
      <c r="E5547" s="107">
        <v>6525000</v>
      </c>
      <c r="F5547" s="243">
        <v>6525000</v>
      </c>
      <c r="G5547" s="379">
        <f t="shared" si="339"/>
        <v>100</v>
      </c>
      <c r="H5547" s="235">
        <v>100</v>
      </c>
      <c r="I5547" s="111"/>
    </row>
    <row r="5548" spans="3:9" ht="16.5" hidden="1" customHeight="1" x14ac:dyDescent="0.25">
      <c r="C5548" s="226"/>
      <c r="D5548" s="119" t="s">
        <v>3890</v>
      </c>
      <c r="E5548" s="107">
        <v>12000000</v>
      </c>
      <c r="F5548" s="243">
        <v>12000000</v>
      </c>
      <c r="G5548" s="379">
        <f t="shared" si="339"/>
        <v>100</v>
      </c>
      <c r="H5548" s="235">
        <v>100</v>
      </c>
      <c r="I5548" s="111"/>
    </row>
    <row r="5549" spans="3:9" s="115" customFormat="1" ht="16.5" hidden="1" customHeight="1" x14ac:dyDescent="0.25">
      <c r="C5549" s="222"/>
      <c r="D5549" s="217" t="s">
        <v>109</v>
      </c>
      <c r="E5549" s="120">
        <f>SUM(E5550:E5551)</f>
        <v>400000000</v>
      </c>
      <c r="F5549" s="242">
        <f>SUM(F5550:F5551)</f>
        <v>397762000</v>
      </c>
      <c r="G5549" s="333">
        <f t="shared" si="339"/>
        <v>99.4405</v>
      </c>
      <c r="H5549" s="110">
        <f>SUM(H5550:H5551)/2</f>
        <v>100</v>
      </c>
      <c r="I5549" s="121"/>
    </row>
    <row r="5550" spans="3:9" ht="16.5" hidden="1" customHeight="1" x14ac:dyDescent="0.25">
      <c r="C5550" s="226"/>
      <c r="D5550" s="119" t="s">
        <v>3891</v>
      </c>
      <c r="E5550" s="107">
        <v>200000000</v>
      </c>
      <c r="F5550" s="243">
        <v>198507000</v>
      </c>
      <c r="G5550" s="379">
        <f t="shared" si="339"/>
        <v>99.253499999999988</v>
      </c>
      <c r="H5550" s="235">
        <v>100</v>
      </c>
      <c r="I5550" s="111"/>
    </row>
    <row r="5551" spans="3:9" ht="16.5" hidden="1" customHeight="1" x14ac:dyDescent="0.25">
      <c r="C5551" s="226"/>
      <c r="D5551" s="119" t="s">
        <v>3892</v>
      </c>
      <c r="E5551" s="107">
        <v>200000000</v>
      </c>
      <c r="F5551" s="243">
        <v>199255000</v>
      </c>
      <c r="G5551" s="379">
        <f t="shared" si="339"/>
        <v>99.627499999999998</v>
      </c>
      <c r="H5551" s="235">
        <v>100</v>
      </c>
      <c r="I5551" s="111"/>
    </row>
    <row r="5552" spans="3:9" ht="16.5" hidden="1" customHeight="1" x14ac:dyDescent="0.25">
      <c r="C5552" s="226"/>
      <c r="D5552" s="354"/>
      <c r="E5552" s="169"/>
      <c r="F5552" s="108"/>
      <c r="G5552" s="117"/>
      <c r="H5552" s="114"/>
      <c r="I5552" s="111"/>
    </row>
    <row r="5553" spans="3:9" ht="16.5" hidden="1" customHeight="1" x14ac:dyDescent="0.25">
      <c r="C5553" s="226"/>
      <c r="D5553" s="48" t="s">
        <v>3893</v>
      </c>
      <c r="E5553" s="168">
        <f>E5554</f>
        <v>14333257650</v>
      </c>
      <c r="F5553" s="108"/>
      <c r="G5553" s="117"/>
      <c r="H5553" s="114"/>
      <c r="I5553" s="111"/>
    </row>
    <row r="5554" spans="3:9" s="115" customFormat="1" ht="16.5" hidden="1" customHeight="1" x14ac:dyDescent="0.25">
      <c r="C5554" s="222"/>
      <c r="D5554" s="48" t="s">
        <v>150</v>
      </c>
      <c r="E5554" s="168">
        <f>E5555+E5557+E5562+E5567+E5571+E5574+E5577+E5579+E5582+E5585+E5587+E5589</f>
        <v>14333257650</v>
      </c>
      <c r="F5554" s="242">
        <f>F5555+F5557+F5562+F5567+F5571+F5574+F5577+F5579+F5582+F5585+F5587+F5589</f>
        <v>13091089000</v>
      </c>
      <c r="G5554" s="333">
        <f t="shared" ref="G5554:G5590" si="340">(F5554/E5554)*100</f>
        <v>91.333661332739666</v>
      </c>
      <c r="H5554" s="110">
        <f>SUM(H5555+H5557+H5562+H5567+H5571+H5574+H5577+H5579+H5582+H5585+H5587+H5589)/12</f>
        <v>96.676666666666662</v>
      </c>
      <c r="I5554" s="121"/>
    </row>
    <row r="5555" spans="3:9" s="115" customFormat="1" ht="16.5" hidden="1" customHeight="1" x14ac:dyDescent="0.25">
      <c r="C5555" s="222"/>
      <c r="D5555" s="217" t="s">
        <v>156</v>
      </c>
      <c r="E5555" s="168">
        <f>SUM(E5556)</f>
        <v>398459650</v>
      </c>
      <c r="F5555" s="242">
        <f>SUM(F5556)</f>
        <v>398319000</v>
      </c>
      <c r="G5555" s="333">
        <f t="shared" si="340"/>
        <v>99.964701570158994</v>
      </c>
      <c r="H5555" s="110">
        <f>H5556</f>
        <v>100</v>
      </c>
      <c r="I5555" s="121"/>
    </row>
    <row r="5556" spans="3:9" ht="16.5" hidden="1" customHeight="1" x14ac:dyDescent="0.25">
      <c r="C5556" s="226"/>
      <c r="D5556" s="119" t="s">
        <v>3894</v>
      </c>
      <c r="E5556" s="169">
        <v>398459650</v>
      </c>
      <c r="F5556" s="243">
        <v>398319000</v>
      </c>
      <c r="G5556" s="379">
        <f t="shared" si="340"/>
        <v>99.964701570158994</v>
      </c>
      <c r="H5556" s="235">
        <v>100</v>
      </c>
      <c r="I5556" s="111"/>
    </row>
    <row r="5557" spans="3:9" s="115" customFormat="1" ht="16.5" hidden="1" customHeight="1" x14ac:dyDescent="0.25">
      <c r="C5557" s="222"/>
      <c r="D5557" s="217" t="s">
        <v>166</v>
      </c>
      <c r="E5557" s="168">
        <f>SUM(E5558:E5561)</f>
        <v>4100000000</v>
      </c>
      <c r="F5557" s="242">
        <f>SUM(F5558:F5561)</f>
        <v>3794154000</v>
      </c>
      <c r="G5557" s="333">
        <f t="shared" si="340"/>
        <v>92.540341463414634</v>
      </c>
      <c r="H5557" s="110">
        <f>SUM(H5558:H5561)/4</f>
        <v>100</v>
      </c>
      <c r="I5557" s="121"/>
    </row>
    <row r="5558" spans="3:9" ht="16.5" hidden="1" customHeight="1" x14ac:dyDescent="0.25">
      <c r="C5558" s="226"/>
      <c r="D5558" s="119" t="s">
        <v>3895</v>
      </c>
      <c r="E5558" s="169">
        <v>1300000000</v>
      </c>
      <c r="F5558" s="243">
        <v>1175042000</v>
      </c>
      <c r="G5558" s="379">
        <f t="shared" si="340"/>
        <v>90.387846153846155</v>
      </c>
      <c r="H5558" s="235">
        <v>100</v>
      </c>
      <c r="I5558" s="111"/>
    </row>
    <row r="5559" spans="3:9" ht="16.5" hidden="1" customHeight="1" x14ac:dyDescent="0.25">
      <c r="C5559" s="226"/>
      <c r="D5559" s="119" t="s">
        <v>3896</v>
      </c>
      <c r="E5559" s="169">
        <v>950000000</v>
      </c>
      <c r="F5559" s="243">
        <v>778052000</v>
      </c>
      <c r="G5559" s="379">
        <f t="shared" si="340"/>
        <v>81.900210526315789</v>
      </c>
      <c r="H5559" s="235">
        <v>100</v>
      </c>
      <c r="I5559" s="111"/>
    </row>
    <row r="5560" spans="3:9" ht="16.5" hidden="1" customHeight="1" x14ac:dyDescent="0.25">
      <c r="C5560" s="226"/>
      <c r="D5560" s="119" t="s">
        <v>3897</v>
      </c>
      <c r="E5560" s="169">
        <v>250000000</v>
      </c>
      <c r="F5560" s="243">
        <v>246500000</v>
      </c>
      <c r="G5560" s="379">
        <f t="shared" si="340"/>
        <v>98.6</v>
      </c>
      <c r="H5560" s="235">
        <v>100</v>
      </c>
      <c r="I5560" s="111"/>
    </row>
    <row r="5561" spans="3:9" ht="16.5" hidden="1" customHeight="1" x14ac:dyDescent="0.25">
      <c r="C5561" s="226"/>
      <c r="D5561" s="119" t="s">
        <v>3898</v>
      </c>
      <c r="E5561" s="169">
        <v>1600000000</v>
      </c>
      <c r="F5561" s="243">
        <v>1594560000</v>
      </c>
      <c r="G5561" s="379">
        <f t="shared" si="340"/>
        <v>99.660000000000011</v>
      </c>
      <c r="H5561" s="235">
        <v>100</v>
      </c>
      <c r="I5561" s="111"/>
    </row>
    <row r="5562" spans="3:9" s="115" customFormat="1" ht="16.5" hidden="1" customHeight="1" x14ac:dyDescent="0.25">
      <c r="C5562" s="222"/>
      <c r="D5562" s="217" t="s">
        <v>705</v>
      </c>
      <c r="E5562" s="168">
        <f>SUM(E5563:E5566)</f>
        <v>1675000000</v>
      </c>
      <c r="F5562" s="242">
        <f>SUM(F5563:F5566)</f>
        <v>1657941000</v>
      </c>
      <c r="G5562" s="333">
        <f t="shared" si="340"/>
        <v>98.981552238805975</v>
      </c>
      <c r="H5562" s="110">
        <v>100</v>
      </c>
      <c r="I5562" s="121"/>
    </row>
    <row r="5563" spans="3:9" ht="16.5" hidden="1" customHeight="1" x14ac:dyDescent="0.25">
      <c r="C5563" s="226"/>
      <c r="D5563" s="119" t="s">
        <v>3899</v>
      </c>
      <c r="E5563" s="169">
        <v>220000000</v>
      </c>
      <c r="F5563" s="243">
        <v>220000000</v>
      </c>
      <c r="G5563" s="379">
        <f t="shared" si="340"/>
        <v>100</v>
      </c>
      <c r="H5563" s="235">
        <v>100</v>
      </c>
      <c r="I5563" s="111"/>
    </row>
    <row r="5564" spans="3:9" ht="16.5" hidden="1" customHeight="1" x14ac:dyDescent="0.25">
      <c r="C5564" s="226"/>
      <c r="D5564" s="119" t="s">
        <v>3900</v>
      </c>
      <c r="E5564" s="169">
        <v>385000000</v>
      </c>
      <c r="F5564" s="243">
        <v>384843000</v>
      </c>
      <c r="G5564" s="379">
        <f t="shared" si="340"/>
        <v>99.959220779220786</v>
      </c>
      <c r="H5564" s="235">
        <v>100</v>
      </c>
      <c r="I5564" s="111"/>
    </row>
    <row r="5565" spans="3:9" ht="16.5" hidden="1" customHeight="1" x14ac:dyDescent="0.25">
      <c r="C5565" s="226"/>
      <c r="D5565" s="119" t="s">
        <v>3901</v>
      </c>
      <c r="E5565" s="169">
        <v>300000000</v>
      </c>
      <c r="F5565" s="243">
        <v>283174000</v>
      </c>
      <c r="G5565" s="379">
        <f t="shared" si="340"/>
        <v>94.391333333333336</v>
      </c>
      <c r="H5565" s="235">
        <v>100</v>
      </c>
      <c r="I5565" s="111"/>
    </row>
    <row r="5566" spans="3:9" ht="16.5" hidden="1" customHeight="1" x14ac:dyDescent="0.25">
      <c r="C5566" s="226"/>
      <c r="D5566" s="119" t="s">
        <v>1211</v>
      </c>
      <c r="E5566" s="169">
        <v>770000000</v>
      </c>
      <c r="F5566" s="243">
        <v>769924000</v>
      </c>
      <c r="G5566" s="379">
        <f t="shared" si="340"/>
        <v>99.990129870129877</v>
      </c>
      <c r="H5566" s="235">
        <v>100</v>
      </c>
      <c r="I5566" s="111"/>
    </row>
    <row r="5567" spans="3:9" s="115" customFormat="1" ht="16.5" hidden="1" customHeight="1" x14ac:dyDescent="0.25">
      <c r="C5567" s="222"/>
      <c r="D5567" s="217" t="s">
        <v>177</v>
      </c>
      <c r="E5567" s="168">
        <f>SUM(E5568:E5570)</f>
        <v>1100000000</v>
      </c>
      <c r="F5567" s="242">
        <f>SUM(F5568:F5570)</f>
        <v>710622000</v>
      </c>
      <c r="G5567" s="333">
        <f t="shared" si="340"/>
        <v>64.602000000000004</v>
      </c>
      <c r="H5567" s="110">
        <f>SUM(H5568:H5570)/3</f>
        <v>89</v>
      </c>
      <c r="I5567" s="121"/>
    </row>
    <row r="5568" spans="3:9" ht="34.5" hidden="1" customHeight="1" x14ac:dyDescent="0.25">
      <c r="C5568" s="226"/>
      <c r="D5568" s="119" t="s">
        <v>3902</v>
      </c>
      <c r="E5568" s="169">
        <v>580000000</v>
      </c>
      <c r="F5568" s="243">
        <v>190622000</v>
      </c>
      <c r="G5568" s="379">
        <f t="shared" si="340"/>
        <v>32.865862068965519</v>
      </c>
      <c r="H5568" s="235">
        <v>67</v>
      </c>
      <c r="I5568" s="111"/>
    </row>
    <row r="5569" spans="3:9" ht="16.5" hidden="1" customHeight="1" x14ac:dyDescent="0.25">
      <c r="C5569" s="226"/>
      <c r="D5569" s="119" t="s">
        <v>3903</v>
      </c>
      <c r="E5569" s="169">
        <v>220000000</v>
      </c>
      <c r="F5569" s="243">
        <v>220000000</v>
      </c>
      <c r="G5569" s="379">
        <f t="shared" si="340"/>
        <v>100</v>
      </c>
      <c r="H5569" s="235">
        <v>100</v>
      </c>
      <c r="I5569" s="111"/>
    </row>
    <row r="5570" spans="3:9" ht="16.5" hidden="1" customHeight="1" x14ac:dyDescent="0.25">
      <c r="C5570" s="226"/>
      <c r="D5570" s="119" t="s">
        <v>3904</v>
      </c>
      <c r="E5570" s="169">
        <v>300000000</v>
      </c>
      <c r="F5570" s="243">
        <v>300000000</v>
      </c>
      <c r="G5570" s="379">
        <f t="shared" si="340"/>
        <v>100</v>
      </c>
      <c r="H5570" s="235">
        <v>100</v>
      </c>
      <c r="I5570" s="111"/>
    </row>
    <row r="5571" spans="3:9" s="115" customFormat="1" ht="16.5" hidden="1" customHeight="1" x14ac:dyDescent="0.25">
      <c r="C5571" s="222"/>
      <c r="D5571" s="217" t="s">
        <v>179</v>
      </c>
      <c r="E5571" s="168">
        <f>SUM(E5572:E5573)</f>
        <v>814000000</v>
      </c>
      <c r="F5571" s="242">
        <f>SUM(F5572:F5573)</f>
        <v>809600000</v>
      </c>
      <c r="G5571" s="333">
        <f t="shared" si="340"/>
        <v>99.459459459459467</v>
      </c>
      <c r="H5571" s="110">
        <f>SUM(H5572:H5573)/2</f>
        <v>100</v>
      </c>
      <c r="I5571" s="121"/>
    </row>
    <row r="5572" spans="3:9" ht="16.5" hidden="1" customHeight="1" x14ac:dyDescent="0.25">
      <c r="C5572" s="226"/>
      <c r="D5572" s="119" t="s">
        <v>3905</v>
      </c>
      <c r="E5572" s="169">
        <v>204000000</v>
      </c>
      <c r="F5572" s="243">
        <v>204000000</v>
      </c>
      <c r="G5572" s="379">
        <f t="shared" si="340"/>
        <v>100</v>
      </c>
      <c r="H5572" s="235">
        <v>100</v>
      </c>
      <c r="I5572" s="111"/>
    </row>
    <row r="5573" spans="3:9" ht="16.5" hidden="1" customHeight="1" x14ac:dyDescent="0.25">
      <c r="C5573" s="226"/>
      <c r="D5573" s="119" t="s">
        <v>3906</v>
      </c>
      <c r="E5573" s="169">
        <v>610000000</v>
      </c>
      <c r="F5573" s="243">
        <v>605600000</v>
      </c>
      <c r="G5573" s="379">
        <f t="shared" si="340"/>
        <v>99.278688524590166</v>
      </c>
      <c r="H5573" s="235">
        <v>100</v>
      </c>
      <c r="I5573" s="111"/>
    </row>
    <row r="5574" spans="3:9" s="115" customFormat="1" ht="16.5" hidden="1" customHeight="1" x14ac:dyDescent="0.25">
      <c r="C5574" s="222"/>
      <c r="D5574" s="217" t="s">
        <v>182</v>
      </c>
      <c r="E5574" s="168">
        <f>SUM(E5575:E5576)</f>
        <v>1210798000</v>
      </c>
      <c r="F5574" s="242">
        <f>SUM(F5575:F5576)</f>
        <v>1195498000</v>
      </c>
      <c r="G5574" s="333">
        <f t="shared" si="340"/>
        <v>98.736370558920655</v>
      </c>
      <c r="H5574" s="110">
        <f>SUM(H5575:H5576)/2</f>
        <v>100</v>
      </c>
      <c r="I5574" s="121"/>
    </row>
    <row r="5575" spans="3:9" ht="16.5" hidden="1" customHeight="1" x14ac:dyDescent="0.25">
      <c r="C5575" s="226"/>
      <c r="D5575" s="119" t="s">
        <v>3907</v>
      </c>
      <c r="E5575" s="169">
        <v>400000000</v>
      </c>
      <c r="F5575" s="243">
        <v>388100000</v>
      </c>
      <c r="G5575" s="379">
        <f t="shared" si="340"/>
        <v>97.024999999999991</v>
      </c>
      <c r="H5575" s="235">
        <v>100</v>
      </c>
      <c r="I5575" s="111"/>
    </row>
    <row r="5576" spans="3:9" ht="18.75" hidden="1" customHeight="1" x14ac:dyDescent="0.25">
      <c r="C5576" s="226"/>
      <c r="D5576" s="119" t="s">
        <v>3908</v>
      </c>
      <c r="E5576" s="169">
        <v>810798000</v>
      </c>
      <c r="F5576" s="243">
        <v>807398000</v>
      </c>
      <c r="G5576" s="379">
        <f t="shared" si="340"/>
        <v>99.580660041095314</v>
      </c>
      <c r="H5576" s="235">
        <v>100</v>
      </c>
      <c r="I5576" s="111"/>
    </row>
    <row r="5577" spans="3:9" s="115" customFormat="1" ht="16.5" hidden="1" customHeight="1" x14ac:dyDescent="0.25">
      <c r="C5577" s="222"/>
      <c r="D5577" s="217" t="s">
        <v>1737</v>
      </c>
      <c r="E5577" s="168">
        <f>SUM(E5578:E5578)</f>
        <v>550000000</v>
      </c>
      <c r="F5577" s="242">
        <f>SUM(F5578:F5578)</f>
        <v>512545000</v>
      </c>
      <c r="G5577" s="333">
        <f t="shared" si="340"/>
        <v>93.19</v>
      </c>
      <c r="H5577" s="110">
        <f>H5578</f>
        <v>100</v>
      </c>
      <c r="I5577" s="121"/>
    </row>
    <row r="5578" spans="3:9" ht="16.5" hidden="1" customHeight="1" x14ac:dyDescent="0.25">
      <c r="C5578" s="226"/>
      <c r="D5578" s="119" t="s">
        <v>3909</v>
      </c>
      <c r="E5578" s="169">
        <v>550000000</v>
      </c>
      <c r="F5578" s="243">
        <v>512545000</v>
      </c>
      <c r="G5578" s="379">
        <f t="shared" si="340"/>
        <v>93.19</v>
      </c>
      <c r="H5578" s="235">
        <v>100</v>
      </c>
      <c r="I5578" s="111"/>
    </row>
    <row r="5579" spans="3:9" s="115" customFormat="1" ht="16.5" hidden="1" customHeight="1" x14ac:dyDescent="0.25">
      <c r="C5579" s="222"/>
      <c r="D5579" s="217" t="s">
        <v>3401</v>
      </c>
      <c r="E5579" s="168">
        <f>SUM(E5580:E5581)</f>
        <v>1550000000</v>
      </c>
      <c r="F5579" s="242">
        <f>SUM(F5580:F5581)</f>
        <v>1441465000</v>
      </c>
      <c r="G5579" s="333">
        <f t="shared" si="340"/>
        <v>92.997741935483873</v>
      </c>
      <c r="H5579" s="110">
        <f>SUM(H5580:H5581)/2</f>
        <v>100</v>
      </c>
      <c r="I5579" s="121"/>
    </row>
    <row r="5580" spans="3:9" ht="16.5" hidden="1" customHeight="1" x14ac:dyDescent="0.25">
      <c r="C5580" s="226"/>
      <c r="D5580" s="119" t="s">
        <v>3910</v>
      </c>
      <c r="E5580" s="169">
        <v>850000000</v>
      </c>
      <c r="F5580" s="243">
        <v>831430000</v>
      </c>
      <c r="G5580" s="379">
        <f t="shared" si="340"/>
        <v>97.815294117647056</v>
      </c>
      <c r="H5580" s="235">
        <v>100</v>
      </c>
      <c r="I5580" s="111"/>
    </row>
    <row r="5581" spans="3:9" ht="18.75" hidden="1" customHeight="1" x14ac:dyDescent="0.25">
      <c r="C5581" s="226"/>
      <c r="D5581" s="119" t="s">
        <v>3911</v>
      </c>
      <c r="E5581" s="169">
        <v>700000000</v>
      </c>
      <c r="F5581" s="243">
        <v>610035000</v>
      </c>
      <c r="G5581" s="379">
        <f t="shared" si="340"/>
        <v>87.147857142857148</v>
      </c>
      <c r="H5581" s="235">
        <v>100</v>
      </c>
      <c r="I5581" s="111"/>
    </row>
    <row r="5582" spans="3:9" s="115" customFormat="1" ht="16.5" hidden="1" customHeight="1" x14ac:dyDescent="0.25">
      <c r="C5582" s="222"/>
      <c r="D5582" s="217" t="s">
        <v>196</v>
      </c>
      <c r="E5582" s="168">
        <f>SUM(E5583:E5584)</f>
        <v>730000000</v>
      </c>
      <c r="F5582" s="242">
        <f>SUM(F5583:F5584)</f>
        <v>692305000</v>
      </c>
      <c r="G5582" s="333">
        <f t="shared" si="340"/>
        <v>94.836301369863023</v>
      </c>
      <c r="H5582" s="110">
        <f>SUM(H5583:H5584)/2</f>
        <v>100</v>
      </c>
      <c r="I5582" s="121"/>
    </row>
    <row r="5583" spans="3:9" ht="16.5" hidden="1" customHeight="1" x14ac:dyDescent="0.25">
      <c r="C5583" s="226"/>
      <c r="D5583" s="119" t="s">
        <v>3912</v>
      </c>
      <c r="E5583" s="169">
        <v>400000000</v>
      </c>
      <c r="F5583" s="243">
        <v>399805000</v>
      </c>
      <c r="G5583" s="379">
        <f t="shared" si="340"/>
        <v>99.951250000000002</v>
      </c>
      <c r="H5583" s="235">
        <v>100</v>
      </c>
      <c r="I5583" s="111"/>
    </row>
    <row r="5584" spans="3:9" ht="16.5" hidden="1" customHeight="1" x14ac:dyDescent="0.25">
      <c r="C5584" s="226"/>
      <c r="D5584" s="119" t="s">
        <v>3913</v>
      </c>
      <c r="E5584" s="169">
        <v>330000000</v>
      </c>
      <c r="F5584" s="243">
        <v>292500000</v>
      </c>
      <c r="G5584" s="379">
        <f t="shared" si="340"/>
        <v>88.63636363636364</v>
      </c>
      <c r="H5584" s="235">
        <v>100</v>
      </c>
      <c r="I5584" s="111"/>
    </row>
    <row r="5585" spans="3:9" s="115" customFormat="1" ht="16.5" hidden="1" customHeight="1" x14ac:dyDescent="0.25">
      <c r="C5585" s="222"/>
      <c r="D5585" s="217" t="s">
        <v>1570</v>
      </c>
      <c r="E5585" s="168">
        <f>E5586</f>
        <v>600000000</v>
      </c>
      <c r="F5585" s="242">
        <f>F5586</f>
        <v>599935000</v>
      </c>
      <c r="G5585" s="333">
        <f t="shared" si="340"/>
        <v>99.989166666666662</v>
      </c>
      <c r="H5585" s="110">
        <f>H5586</f>
        <v>100</v>
      </c>
      <c r="I5585" s="121"/>
    </row>
    <row r="5586" spans="3:9" ht="16.5" hidden="1" customHeight="1" x14ac:dyDescent="0.25">
      <c r="C5586" s="226"/>
      <c r="D5586" s="119" t="s">
        <v>3914</v>
      </c>
      <c r="E5586" s="169">
        <v>600000000</v>
      </c>
      <c r="F5586" s="243">
        <v>599935000</v>
      </c>
      <c r="G5586" s="379">
        <f t="shared" si="340"/>
        <v>99.989166666666662</v>
      </c>
      <c r="H5586" s="235">
        <v>100</v>
      </c>
      <c r="I5586" s="111"/>
    </row>
    <row r="5587" spans="3:9" s="115" customFormat="1" ht="16.5" hidden="1" customHeight="1" x14ac:dyDescent="0.25">
      <c r="C5587" s="222"/>
      <c r="D5587" s="217" t="s">
        <v>720</v>
      </c>
      <c r="E5587" s="168">
        <f>E5588</f>
        <v>1000000000</v>
      </c>
      <c r="F5587" s="242">
        <f>F5588</f>
        <v>674705000</v>
      </c>
      <c r="G5587" s="333">
        <f t="shared" si="340"/>
        <v>67.470500000000001</v>
      </c>
      <c r="H5587" s="110">
        <f>H5588</f>
        <v>71.12</v>
      </c>
      <c r="I5587" s="121"/>
    </row>
    <row r="5588" spans="3:9" ht="16.5" hidden="1" customHeight="1" x14ac:dyDescent="0.25">
      <c r="C5588" s="226"/>
      <c r="D5588" s="119" t="s">
        <v>3323</v>
      </c>
      <c r="E5588" s="169">
        <v>1000000000</v>
      </c>
      <c r="F5588" s="243">
        <v>674705000</v>
      </c>
      <c r="G5588" s="379">
        <f t="shared" si="340"/>
        <v>67.470500000000001</v>
      </c>
      <c r="H5588" s="235">
        <v>71.12</v>
      </c>
      <c r="I5588" s="111"/>
    </row>
    <row r="5589" spans="3:9" ht="16.5" hidden="1" customHeight="1" x14ac:dyDescent="0.25">
      <c r="C5589" s="226"/>
      <c r="D5589" s="217" t="s">
        <v>3915</v>
      </c>
      <c r="E5589" s="168">
        <f>E5590</f>
        <v>605000000</v>
      </c>
      <c r="F5589" s="242">
        <f>F5590</f>
        <v>604000000</v>
      </c>
      <c r="G5589" s="333">
        <f t="shared" si="340"/>
        <v>99.834710743801651</v>
      </c>
      <c r="H5589" s="110">
        <f>H5590</f>
        <v>100</v>
      </c>
      <c r="I5589" s="111"/>
    </row>
    <row r="5590" spans="3:9" ht="16.5" hidden="1" customHeight="1" x14ac:dyDescent="0.25">
      <c r="C5590" s="226"/>
      <c r="D5590" s="119" t="s">
        <v>3916</v>
      </c>
      <c r="E5590" s="169">
        <v>605000000</v>
      </c>
      <c r="F5590" s="243">
        <v>604000000</v>
      </c>
      <c r="G5590" s="379">
        <f t="shared" si="340"/>
        <v>99.834710743801651</v>
      </c>
      <c r="H5590" s="235">
        <v>100</v>
      </c>
      <c r="I5590" s="111"/>
    </row>
    <row r="5591" spans="3:9" ht="9.75" hidden="1" customHeight="1" x14ac:dyDescent="0.25">
      <c r="C5591" s="226"/>
      <c r="D5591" s="354"/>
      <c r="E5591" s="169"/>
      <c r="F5591" s="108"/>
      <c r="G5591" s="117"/>
      <c r="H5591" s="114"/>
      <c r="I5591" s="111"/>
    </row>
    <row r="5592" spans="3:9" ht="16.5" hidden="1" customHeight="1" x14ac:dyDescent="0.25">
      <c r="C5592" s="226"/>
      <c r="D5592" s="217" t="s">
        <v>3917</v>
      </c>
      <c r="E5592" s="168">
        <f>E5593</f>
        <v>20269313260</v>
      </c>
      <c r="F5592" s="108"/>
      <c r="G5592" s="117"/>
      <c r="H5592" s="114"/>
      <c r="I5592" s="111"/>
    </row>
    <row r="5593" spans="3:9" s="115" customFormat="1" ht="16.5" hidden="1" customHeight="1" x14ac:dyDescent="0.25">
      <c r="C5593" s="222"/>
      <c r="D5593" s="217" t="s">
        <v>3918</v>
      </c>
      <c r="E5593" s="168">
        <f>E5594+E5596+E5598+E5601+E5606+E5608</f>
        <v>20269313260</v>
      </c>
      <c r="F5593" s="242">
        <f>F5594+F5596+F5598+F5601+F5606+F5608</f>
        <v>20063064850</v>
      </c>
      <c r="G5593" s="333">
        <f t="shared" ref="G5593:G5609" si="341">(F5593/E5593)*100</f>
        <v>98.982459803376685</v>
      </c>
      <c r="H5593" s="110">
        <f>SUM(H5594+H5596+H5598+H5601+H5606+H5608)/6</f>
        <v>100</v>
      </c>
      <c r="I5593" s="121"/>
    </row>
    <row r="5594" spans="3:9" s="115" customFormat="1" ht="16.5" hidden="1" customHeight="1" x14ac:dyDescent="0.25">
      <c r="C5594" s="222"/>
      <c r="D5594" s="217" t="s">
        <v>3632</v>
      </c>
      <c r="E5594" s="168">
        <f>E5595</f>
        <v>1008303060</v>
      </c>
      <c r="F5594" s="242">
        <f>F5595</f>
        <v>998963600</v>
      </c>
      <c r="G5594" s="333">
        <f t="shared" si="341"/>
        <v>99.073744752892054</v>
      </c>
      <c r="H5594" s="110">
        <f>H5595</f>
        <v>100</v>
      </c>
      <c r="I5594" s="121"/>
    </row>
    <row r="5595" spans="3:9" ht="16.5" hidden="1" customHeight="1" x14ac:dyDescent="0.25">
      <c r="C5595" s="226"/>
      <c r="D5595" s="119" t="s">
        <v>3281</v>
      </c>
      <c r="E5595" s="169">
        <v>1008303060</v>
      </c>
      <c r="F5595" s="243">
        <v>998963600</v>
      </c>
      <c r="G5595" s="379">
        <f t="shared" si="341"/>
        <v>99.073744752892054</v>
      </c>
      <c r="H5595" s="235">
        <v>100</v>
      </c>
      <c r="I5595" s="111"/>
    </row>
    <row r="5596" spans="3:9" s="115" customFormat="1" ht="16.5" hidden="1" customHeight="1" x14ac:dyDescent="0.25">
      <c r="C5596" s="222"/>
      <c r="D5596" s="217" t="s">
        <v>3919</v>
      </c>
      <c r="E5596" s="168">
        <f>E5597</f>
        <v>300000000</v>
      </c>
      <c r="F5596" s="242">
        <f>F5597</f>
        <v>299498800</v>
      </c>
      <c r="G5596" s="333">
        <f t="shared" si="341"/>
        <v>99.83293333333333</v>
      </c>
      <c r="H5596" s="110">
        <f>H5597</f>
        <v>100</v>
      </c>
      <c r="I5596" s="121"/>
    </row>
    <row r="5597" spans="3:9" ht="16.5" hidden="1" customHeight="1" x14ac:dyDescent="0.25">
      <c r="C5597" s="226"/>
      <c r="D5597" s="119" t="s">
        <v>3920</v>
      </c>
      <c r="E5597" s="169">
        <v>300000000</v>
      </c>
      <c r="F5597" s="243">
        <v>299498800</v>
      </c>
      <c r="G5597" s="379">
        <f t="shared" si="341"/>
        <v>99.83293333333333</v>
      </c>
      <c r="H5597" s="235">
        <v>100</v>
      </c>
      <c r="I5597" s="111"/>
    </row>
    <row r="5598" spans="3:9" s="115" customFormat="1" ht="16.5" hidden="1" customHeight="1" x14ac:dyDescent="0.25">
      <c r="C5598" s="222"/>
      <c r="D5598" s="217" t="s">
        <v>726</v>
      </c>
      <c r="E5598" s="168">
        <f>SUM(E5599:E5600)</f>
        <v>1530000000</v>
      </c>
      <c r="F5598" s="242">
        <f>SUM(F5599:F5600)</f>
        <v>1521471000</v>
      </c>
      <c r="G5598" s="333">
        <f t="shared" si="341"/>
        <v>99.442549019607839</v>
      </c>
      <c r="H5598" s="110">
        <f>SUM(H5599:H5600)/2</f>
        <v>100</v>
      </c>
      <c r="I5598" s="121"/>
    </row>
    <row r="5599" spans="3:9" ht="16.5" hidden="1" customHeight="1" x14ac:dyDescent="0.25">
      <c r="C5599" s="226"/>
      <c r="D5599" s="119" t="s">
        <v>857</v>
      </c>
      <c r="E5599" s="169">
        <v>1350000000</v>
      </c>
      <c r="F5599" s="243">
        <v>1342471000</v>
      </c>
      <c r="G5599" s="379">
        <f t="shared" si="341"/>
        <v>99.442296296296291</v>
      </c>
      <c r="H5599" s="235">
        <v>100</v>
      </c>
      <c r="I5599" s="111"/>
    </row>
    <row r="5600" spans="3:9" ht="18.75" hidden="1" customHeight="1" x14ac:dyDescent="0.25">
      <c r="C5600" s="226"/>
      <c r="D5600" s="119" t="s">
        <v>3921</v>
      </c>
      <c r="E5600" s="169">
        <v>180000000</v>
      </c>
      <c r="F5600" s="243">
        <v>179000000</v>
      </c>
      <c r="G5600" s="379">
        <f t="shared" si="341"/>
        <v>99.444444444444443</v>
      </c>
      <c r="H5600" s="235">
        <v>100</v>
      </c>
      <c r="I5600" s="111"/>
    </row>
    <row r="5601" spans="3:9" s="115" customFormat="1" ht="16.5" hidden="1" customHeight="1" x14ac:dyDescent="0.25">
      <c r="C5601" s="222"/>
      <c r="D5601" s="217" t="s">
        <v>1740</v>
      </c>
      <c r="E5601" s="168">
        <f>SUM(E5602:E5605)</f>
        <v>4938587200</v>
      </c>
      <c r="F5601" s="242">
        <f>SUM(F5602:F5605)</f>
        <v>4850230000</v>
      </c>
      <c r="G5601" s="333">
        <f t="shared" si="341"/>
        <v>98.210881039014566</v>
      </c>
      <c r="H5601" s="110">
        <f>SUM(H5602:H5605)/4</f>
        <v>100</v>
      </c>
      <c r="I5601" s="121"/>
    </row>
    <row r="5602" spans="3:9" ht="16.5" hidden="1" customHeight="1" x14ac:dyDescent="0.25">
      <c r="C5602" s="226"/>
      <c r="D5602" s="119" t="s">
        <v>3922</v>
      </c>
      <c r="E5602" s="169">
        <v>1230000000</v>
      </c>
      <c r="F5602" s="243">
        <v>1224099000</v>
      </c>
      <c r="G5602" s="379">
        <f t="shared" si="341"/>
        <v>99.52024390243902</v>
      </c>
      <c r="H5602" s="235">
        <v>100</v>
      </c>
      <c r="I5602" s="111"/>
    </row>
    <row r="5603" spans="3:9" ht="16.5" hidden="1" customHeight="1" x14ac:dyDescent="0.25">
      <c r="C5603" s="226"/>
      <c r="D5603" s="119" t="s">
        <v>3923</v>
      </c>
      <c r="E5603" s="169">
        <v>1750000000</v>
      </c>
      <c r="F5603" s="243">
        <v>1714401000</v>
      </c>
      <c r="G5603" s="379">
        <f t="shared" si="341"/>
        <v>97.965771428571429</v>
      </c>
      <c r="H5603" s="235">
        <v>100</v>
      </c>
      <c r="I5603" s="111"/>
    </row>
    <row r="5604" spans="3:9" ht="18.75" hidden="1" customHeight="1" x14ac:dyDescent="0.25">
      <c r="C5604" s="226"/>
      <c r="D5604" s="119" t="s">
        <v>3529</v>
      </c>
      <c r="E5604" s="169">
        <v>1808587200</v>
      </c>
      <c r="F5604" s="243">
        <v>1762230000</v>
      </c>
      <c r="G5604" s="379">
        <f t="shared" si="341"/>
        <v>97.436828039035106</v>
      </c>
      <c r="H5604" s="235">
        <v>100</v>
      </c>
      <c r="I5604" s="111"/>
    </row>
    <row r="5605" spans="3:9" ht="16.5" hidden="1" customHeight="1" x14ac:dyDescent="0.25">
      <c r="C5605" s="226"/>
      <c r="D5605" s="119" t="s">
        <v>3281</v>
      </c>
      <c r="E5605" s="169">
        <v>150000000</v>
      </c>
      <c r="F5605" s="243">
        <v>149500000</v>
      </c>
      <c r="G5605" s="379">
        <f t="shared" si="341"/>
        <v>99.666666666666671</v>
      </c>
      <c r="H5605" s="235">
        <v>100</v>
      </c>
      <c r="I5605" s="111"/>
    </row>
    <row r="5606" spans="3:9" s="115" customFormat="1" ht="16.5" hidden="1" customHeight="1" x14ac:dyDescent="0.25">
      <c r="C5606" s="222"/>
      <c r="D5606" s="217" t="s">
        <v>729</v>
      </c>
      <c r="E5606" s="168">
        <f>SUM(E5607:E5607)</f>
        <v>8000000000</v>
      </c>
      <c r="F5606" s="242">
        <f>SUM(F5607:F5607)</f>
        <v>7940230450</v>
      </c>
      <c r="G5606" s="333">
        <f t="shared" si="341"/>
        <v>99.252880624999989</v>
      </c>
      <c r="H5606" s="110">
        <f>H5607</f>
        <v>100</v>
      </c>
      <c r="I5606" s="121"/>
    </row>
    <row r="5607" spans="3:9" ht="16.5" hidden="1" customHeight="1" x14ac:dyDescent="0.25">
      <c r="C5607" s="226"/>
      <c r="D5607" s="119" t="s">
        <v>2610</v>
      </c>
      <c r="E5607" s="169">
        <v>8000000000</v>
      </c>
      <c r="F5607" s="243">
        <v>7940230450</v>
      </c>
      <c r="G5607" s="379">
        <f t="shared" si="341"/>
        <v>99.252880624999989</v>
      </c>
      <c r="H5607" s="235">
        <v>100</v>
      </c>
      <c r="I5607" s="111"/>
    </row>
    <row r="5608" spans="3:9" s="115" customFormat="1" ht="16.5" hidden="1" customHeight="1" x14ac:dyDescent="0.25">
      <c r="C5608" s="222"/>
      <c r="D5608" s="217" t="s">
        <v>2500</v>
      </c>
      <c r="E5608" s="168">
        <f>E5609</f>
        <v>4492423000</v>
      </c>
      <c r="F5608" s="242">
        <f>F5609</f>
        <v>4452671000</v>
      </c>
      <c r="G5608" s="333">
        <f t="shared" si="341"/>
        <v>99.115132301655478</v>
      </c>
      <c r="H5608" s="110">
        <f>H5609</f>
        <v>100</v>
      </c>
      <c r="I5608" s="121"/>
    </row>
    <row r="5609" spans="3:9" ht="16.5" hidden="1" customHeight="1" x14ac:dyDescent="0.25">
      <c r="C5609" s="226"/>
      <c r="D5609" s="119" t="s">
        <v>3924</v>
      </c>
      <c r="E5609" s="169">
        <v>4492423000</v>
      </c>
      <c r="F5609" s="243">
        <v>4452671000</v>
      </c>
      <c r="G5609" s="379">
        <f t="shared" si="341"/>
        <v>99.115132301655478</v>
      </c>
      <c r="H5609" s="235">
        <v>100</v>
      </c>
      <c r="I5609" s="111"/>
    </row>
    <row r="5610" spans="3:9" ht="9.75" hidden="1" customHeight="1" x14ac:dyDescent="0.25">
      <c r="C5610" s="226"/>
      <c r="D5610" s="354"/>
      <c r="E5610" s="169"/>
      <c r="F5610" s="243"/>
      <c r="G5610" s="379"/>
      <c r="H5610" s="235"/>
      <c r="I5610" s="111"/>
    </row>
    <row r="5611" spans="3:9" ht="16.5" hidden="1" customHeight="1" x14ac:dyDescent="0.25">
      <c r="C5611" s="226"/>
      <c r="D5611" s="48" t="s">
        <v>3925</v>
      </c>
      <c r="E5611" s="168">
        <f>+E5612</f>
        <v>1200000000</v>
      </c>
      <c r="F5611" s="242">
        <f>+F5612</f>
        <v>1199578850</v>
      </c>
      <c r="G5611" s="333">
        <f t="shared" ref="G5611:G5618" si="342">(F5611/E5611)*100</f>
        <v>99.96490416666667</v>
      </c>
      <c r="H5611" s="110"/>
      <c r="I5611" s="111"/>
    </row>
    <row r="5612" spans="3:9" s="115" customFormat="1" ht="16.5" hidden="1" customHeight="1" x14ac:dyDescent="0.25">
      <c r="C5612" s="222"/>
      <c r="D5612" s="48" t="s">
        <v>864</v>
      </c>
      <c r="E5612" s="168">
        <f>E5613+E5615+E5617</f>
        <v>1200000000</v>
      </c>
      <c r="F5612" s="242">
        <f>F5613+F5615+F5617</f>
        <v>1199578850</v>
      </c>
      <c r="G5612" s="333">
        <f t="shared" si="342"/>
        <v>99.96490416666667</v>
      </c>
      <c r="H5612" s="110">
        <f>SUM(H5613+H5615+H5617)/3</f>
        <v>100</v>
      </c>
      <c r="I5612" s="121"/>
    </row>
    <row r="5613" spans="3:9" s="115" customFormat="1" ht="34.5" hidden="1" customHeight="1" x14ac:dyDescent="0.25">
      <c r="C5613" s="222"/>
      <c r="D5613" s="217" t="s">
        <v>259</v>
      </c>
      <c r="E5613" s="168">
        <f>E5614</f>
        <v>500000000</v>
      </c>
      <c r="F5613" s="242">
        <f>F5614</f>
        <v>499585850</v>
      </c>
      <c r="G5613" s="333">
        <f t="shared" si="342"/>
        <v>99.917169999999999</v>
      </c>
      <c r="H5613" s="110">
        <f>H5614</f>
        <v>100</v>
      </c>
      <c r="I5613" s="121"/>
    </row>
    <row r="5614" spans="3:9" ht="16.5" hidden="1" customHeight="1" x14ac:dyDescent="0.25">
      <c r="C5614" s="226"/>
      <c r="D5614" s="119" t="s">
        <v>3926</v>
      </c>
      <c r="E5614" s="169">
        <v>500000000</v>
      </c>
      <c r="F5614" s="243">
        <v>499585850</v>
      </c>
      <c r="G5614" s="379">
        <f t="shared" si="342"/>
        <v>99.917169999999999</v>
      </c>
      <c r="H5614" s="235">
        <v>100</v>
      </c>
      <c r="I5614" s="111"/>
    </row>
    <row r="5615" spans="3:9" s="115" customFormat="1" ht="16.5" hidden="1" customHeight="1" x14ac:dyDescent="0.25">
      <c r="C5615" s="222"/>
      <c r="D5615" s="217" t="s">
        <v>3927</v>
      </c>
      <c r="E5615" s="168">
        <f>E5616</f>
        <v>400000000</v>
      </c>
      <c r="F5615" s="242">
        <f>F5616</f>
        <v>399993000</v>
      </c>
      <c r="G5615" s="333">
        <f t="shared" si="342"/>
        <v>99.998249999999999</v>
      </c>
      <c r="H5615" s="110">
        <f>H5616</f>
        <v>100</v>
      </c>
      <c r="I5615" s="121"/>
    </row>
    <row r="5616" spans="3:9" ht="16.5" hidden="1" customHeight="1" x14ac:dyDescent="0.25">
      <c r="C5616" s="226"/>
      <c r="D5616" s="119" t="s">
        <v>3928</v>
      </c>
      <c r="E5616" s="169">
        <v>400000000</v>
      </c>
      <c r="F5616" s="243">
        <v>399993000</v>
      </c>
      <c r="G5616" s="379">
        <f t="shared" si="342"/>
        <v>99.998249999999999</v>
      </c>
      <c r="H5616" s="235">
        <v>100</v>
      </c>
      <c r="I5616" s="111"/>
    </row>
    <row r="5617" spans="3:9" s="115" customFormat="1" ht="16.5" hidden="1" customHeight="1" x14ac:dyDescent="0.25">
      <c r="C5617" s="222"/>
      <c r="D5617" s="217" t="s">
        <v>2652</v>
      </c>
      <c r="E5617" s="168">
        <f>E5618</f>
        <v>300000000</v>
      </c>
      <c r="F5617" s="242">
        <f>F5618</f>
        <v>300000000</v>
      </c>
      <c r="G5617" s="333">
        <f t="shared" si="342"/>
        <v>100</v>
      </c>
      <c r="H5617" s="110">
        <f>H5618</f>
        <v>100</v>
      </c>
      <c r="I5617" s="121"/>
    </row>
    <row r="5618" spans="3:9" ht="16.5" hidden="1" customHeight="1" x14ac:dyDescent="0.25">
      <c r="C5618" s="226"/>
      <c r="D5618" s="119" t="s">
        <v>3929</v>
      </c>
      <c r="E5618" s="169">
        <v>300000000</v>
      </c>
      <c r="F5618" s="243">
        <v>300000000</v>
      </c>
      <c r="G5618" s="379">
        <f t="shared" si="342"/>
        <v>100</v>
      </c>
      <c r="H5618" s="235">
        <v>100</v>
      </c>
      <c r="I5618" s="111"/>
    </row>
    <row r="5619" spans="3:9" ht="9.75" hidden="1" customHeight="1" x14ac:dyDescent="0.25">
      <c r="C5619" s="226"/>
      <c r="D5619" s="354"/>
      <c r="E5619" s="169"/>
      <c r="F5619" s="243"/>
      <c r="G5619" s="379"/>
      <c r="H5619" s="235"/>
      <c r="I5619" s="111"/>
    </row>
    <row r="5620" spans="3:9" ht="16.5" hidden="1" customHeight="1" x14ac:dyDescent="0.25">
      <c r="C5620" s="226"/>
      <c r="D5620" s="217" t="s">
        <v>3930</v>
      </c>
      <c r="E5620" s="168">
        <f>E5621</f>
        <v>261101020</v>
      </c>
      <c r="F5620" s="242">
        <f t="shared" ref="F5620:F5622" si="343">F5621</f>
        <v>261101020</v>
      </c>
      <c r="G5620" s="379">
        <f>(F5620/E5620)*100</f>
        <v>100</v>
      </c>
      <c r="H5620" s="110"/>
      <c r="I5620" s="111"/>
    </row>
    <row r="5621" spans="3:9" s="115" customFormat="1" ht="16.5" hidden="1" customHeight="1" x14ac:dyDescent="0.25">
      <c r="C5621" s="222"/>
      <c r="D5621" s="48" t="s">
        <v>274</v>
      </c>
      <c r="E5621" s="168">
        <f>E5622</f>
        <v>261101020</v>
      </c>
      <c r="F5621" s="242">
        <f t="shared" si="343"/>
        <v>261101020</v>
      </c>
      <c r="G5621" s="333">
        <f>(F5621/E5621)*100</f>
        <v>100</v>
      </c>
      <c r="H5621" s="110">
        <f>H5622</f>
        <v>100</v>
      </c>
      <c r="I5621" s="121"/>
    </row>
    <row r="5622" spans="3:9" s="115" customFormat="1" ht="16.5" hidden="1" customHeight="1" x14ac:dyDescent="0.25">
      <c r="C5622" s="222"/>
      <c r="D5622" s="217" t="s">
        <v>275</v>
      </c>
      <c r="E5622" s="168">
        <f>E5623</f>
        <v>261101020</v>
      </c>
      <c r="F5622" s="242">
        <f t="shared" si="343"/>
        <v>261101020</v>
      </c>
      <c r="G5622" s="333">
        <f>(F5622/E5622)*100</f>
        <v>100</v>
      </c>
      <c r="H5622" s="110">
        <f>H5623</f>
        <v>100</v>
      </c>
      <c r="I5622" s="121"/>
    </row>
    <row r="5623" spans="3:9" ht="16.5" hidden="1" customHeight="1" x14ac:dyDescent="0.25">
      <c r="C5623" s="226"/>
      <c r="D5623" s="119" t="s">
        <v>1110</v>
      </c>
      <c r="E5623" s="169">
        <v>261101020</v>
      </c>
      <c r="F5623" s="243">
        <v>261101020</v>
      </c>
      <c r="G5623" s="379">
        <f>(F5623/E5623)*100</f>
        <v>100</v>
      </c>
      <c r="H5623" s="235">
        <v>100</v>
      </c>
      <c r="I5623" s="111"/>
    </row>
    <row r="5624" spans="3:9" ht="9.75" hidden="1" customHeight="1" x14ac:dyDescent="0.25">
      <c r="C5624" s="226"/>
      <c r="D5624" s="354"/>
      <c r="E5624" s="169"/>
      <c r="F5624" s="108"/>
      <c r="G5624" s="117"/>
      <c r="H5624" s="114"/>
      <c r="I5624" s="111"/>
    </row>
    <row r="5625" spans="3:9" ht="18.75" hidden="1" customHeight="1" x14ac:dyDescent="0.25">
      <c r="C5625" s="226"/>
      <c r="D5625" s="217" t="s">
        <v>3931</v>
      </c>
      <c r="E5625" s="168">
        <f>E5626</f>
        <v>3775000000</v>
      </c>
      <c r="F5625" s="108"/>
      <c r="G5625" s="117"/>
      <c r="H5625" s="114"/>
      <c r="I5625" s="111"/>
    </row>
    <row r="5626" spans="3:9" s="115" customFormat="1" ht="16.5" hidden="1" customHeight="1" x14ac:dyDescent="0.25">
      <c r="C5626" s="222"/>
      <c r="D5626" s="217" t="s">
        <v>3932</v>
      </c>
      <c r="E5626" s="168">
        <f>E5627+E5629+E5632+E5634+E5636+E5638</f>
        <v>3775000000</v>
      </c>
      <c r="F5626" s="242">
        <f>F5627+F5629+F5632+F5634+F5636+F5638</f>
        <v>3773890000</v>
      </c>
      <c r="G5626" s="333">
        <f t="shared" ref="G5626:G5640" si="344">(F5626/E5626)*100</f>
        <v>99.970596026490071</v>
      </c>
      <c r="H5626" s="110">
        <f>SUM(H5627+H5629+H5632+H5634+H5636+H5638)/6</f>
        <v>100</v>
      </c>
      <c r="I5626" s="121"/>
    </row>
    <row r="5627" spans="3:9" s="115" customFormat="1" ht="16.5" hidden="1" customHeight="1" x14ac:dyDescent="0.25">
      <c r="C5627" s="222"/>
      <c r="D5627" s="217" t="s">
        <v>2614</v>
      </c>
      <c r="E5627" s="168">
        <f>SUM(E5628)</f>
        <v>150000000</v>
      </c>
      <c r="F5627" s="242">
        <f>SUM(F5628)</f>
        <v>150000000</v>
      </c>
      <c r="G5627" s="333">
        <f t="shared" si="344"/>
        <v>100</v>
      </c>
      <c r="H5627" s="110">
        <f>H5628</f>
        <v>100</v>
      </c>
      <c r="I5627" s="121"/>
    </row>
    <row r="5628" spans="3:9" ht="16.5" hidden="1" customHeight="1" x14ac:dyDescent="0.25">
      <c r="C5628" s="226"/>
      <c r="D5628" s="119" t="s">
        <v>3933</v>
      </c>
      <c r="E5628" s="169">
        <v>150000000</v>
      </c>
      <c r="F5628" s="243">
        <v>150000000</v>
      </c>
      <c r="G5628" s="379">
        <f t="shared" si="344"/>
        <v>100</v>
      </c>
      <c r="H5628" s="235">
        <v>100</v>
      </c>
      <c r="I5628" s="111"/>
    </row>
    <row r="5629" spans="3:9" s="115" customFormat="1" ht="16.5" hidden="1" customHeight="1" x14ac:dyDescent="0.25">
      <c r="C5629" s="222"/>
      <c r="D5629" s="217" t="s">
        <v>299</v>
      </c>
      <c r="E5629" s="168">
        <f>SUM(E5630:E5631)</f>
        <v>1615000000</v>
      </c>
      <c r="F5629" s="242">
        <f>SUM(F5630:F5631)</f>
        <v>1613890000</v>
      </c>
      <c r="G5629" s="333">
        <f t="shared" si="344"/>
        <v>99.931269349845195</v>
      </c>
      <c r="H5629" s="110">
        <f>SUM(H5630:H5631)/2</f>
        <v>100</v>
      </c>
      <c r="I5629" s="121"/>
    </row>
    <row r="5630" spans="3:9" ht="16.5" hidden="1" customHeight="1" x14ac:dyDescent="0.25">
      <c r="C5630" s="226"/>
      <c r="D5630" s="119" t="s">
        <v>3934</v>
      </c>
      <c r="E5630" s="169">
        <v>200000000</v>
      </c>
      <c r="F5630" s="243">
        <v>200000000</v>
      </c>
      <c r="G5630" s="379">
        <f t="shared" si="344"/>
        <v>100</v>
      </c>
      <c r="H5630" s="235">
        <v>100</v>
      </c>
      <c r="I5630" s="111"/>
    </row>
    <row r="5631" spans="3:9" ht="16.5" hidden="1" customHeight="1" x14ac:dyDescent="0.25">
      <c r="C5631" s="226"/>
      <c r="D5631" s="119" t="s">
        <v>3935</v>
      </c>
      <c r="E5631" s="169">
        <v>1415000000</v>
      </c>
      <c r="F5631" s="243">
        <v>1413890000</v>
      </c>
      <c r="G5631" s="379">
        <f t="shared" si="344"/>
        <v>99.921554770318025</v>
      </c>
      <c r="H5631" s="235">
        <v>100</v>
      </c>
      <c r="I5631" s="111"/>
    </row>
    <row r="5632" spans="3:9" s="115" customFormat="1" ht="16.5" hidden="1" customHeight="1" x14ac:dyDescent="0.25">
      <c r="C5632" s="222"/>
      <c r="D5632" s="217" t="s">
        <v>2105</v>
      </c>
      <c r="E5632" s="168">
        <f>SUM(E5633:E5633)</f>
        <v>600000000</v>
      </c>
      <c r="F5632" s="242">
        <f>SUM(F5633:F5633)</f>
        <v>600000000</v>
      </c>
      <c r="G5632" s="333">
        <f t="shared" si="344"/>
        <v>100</v>
      </c>
      <c r="H5632" s="110">
        <f>H5633</f>
        <v>100</v>
      </c>
      <c r="I5632" s="121"/>
    </row>
    <row r="5633" spans="3:9" ht="18.75" hidden="1" customHeight="1" x14ac:dyDescent="0.25">
      <c r="C5633" s="226"/>
      <c r="D5633" s="119" t="s">
        <v>3936</v>
      </c>
      <c r="E5633" s="169">
        <v>600000000</v>
      </c>
      <c r="F5633" s="243">
        <v>600000000</v>
      </c>
      <c r="G5633" s="379">
        <f t="shared" si="344"/>
        <v>100</v>
      </c>
      <c r="H5633" s="235">
        <v>100</v>
      </c>
      <c r="I5633" s="111"/>
    </row>
    <row r="5634" spans="3:9" s="115" customFormat="1" ht="16.5" hidden="1" customHeight="1" x14ac:dyDescent="0.25">
      <c r="C5634" s="222"/>
      <c r="D5634" s="217" t="s">
        <v>744</v>
      </c>
      <c r="E5634" s="168">
        <f>SUM(E5635:E5635)</f>
        <v>300000000</v>
      </c>
      <c r="F5634" s="242">
        <f>SUM(F5635:F5635)</f>
        <v>300000000</v>
      </c>
      <c r="G5634" s="333">
        <f t="shared" si="344"/>
        <v>100</v>
      </c>
      <c r="H5634" s="110">
        <f>H5635</f>
        <v>100</v>
      </c>
      <c r="I5634" s="121"/>
    </row>
    <row r="5635" spans="3:9" ht="16.5" hidden="1" customHeight="1" x14ac:dyDescent="0.25">
      <c r="C5635" s="226"/>
      <c r="D5635" s="119" t="s">
        <v>3937</v>
      </c>
      <c r="E5635" s="169">
        <v>300000000</v>
      </c>
      <c r="F5635" s="243">
        <v>300000000</v>
      </c>
      <c r="G5635" s="379">
        <f t="shared" si="344"/>
        <v>100</v>
      </c>
      <c r="H5635" s="235">
        <v>100</v>
      </c>
      <c r="I5635" s="111"/>
    </row>
    <row r="5636" spans="3:9" s="115" customFormat="1" ht="16.5" hidden="1" customHeight="1" x14ac:dyDescent="0.25">
      <c r="C5636" s="222"/>
      <c r="D5636" s="217" t="s">
        <v>1480</v>
      </c>
      <c r="E5636" s="168">
        <f>SUM(E5637:E5637)</f>
        <v>246000000</v>
      </c>
      <c r="F5636" s="242">
        <f>SUM(F5637:F5637)</f>
        <v>246000000</v>
      </c>
      <c r="G5636" s="333">
        <f t="shared" si="344"/>
        <v>100</v>
      </c>
      <c r="H5636" s="110">
        <f>H5637</f>
        <v>100</v>
      </c>
      <c r="I5636" s="121"/>
    </row>
    <row r="5637" spans="3:9" ht="16.5" hidden="1" customHeight="1" x14ac:dyDescent="0.25">
      <c r="C5637" s="226"/>
      <c r="D5637" s="119" t="s">
        <v>3938</v>
      </c>
      <c r="E5637" s="169">
        <v>246000000</v>
      </c>
      <c r="F5637" s="243">
        <v>246000000</v>
      </c>
      <c r="G5637" s="379">
        <f t="shared" si="344"/>
        <v>100</v>
      </c>
      <c r="H5637" s="235">
        <v>100</v>
      </c>
      <c r="I5637" s="111"/>
    </row>
    <row r="5638" spans="3:9" s="115" customFormat="1" ht="16.5" hidden="1" customHeight="1" x14ac:dyDescent="0.25">
      <c r="C5638" s="222"/>
      <c r="D5638" s="217" t="s">
        <v>3939</v>
      </c>
      <c r="E5638" s="168">
        <f>SUM(E5639:E5640)</f>
        <v>864000000</v>
      </c>
      <c r="F5638" s="242">
        <f>SUM(F5639:F5640)</f>
        <v>864000000</v>
      </c>
      <c r="G5638" s="333">
        <f t="shared" si="344"/>
        <v>100</v>
      </c>
      <c r="H5638" s="110">
        <f>SUM(H5639:H5640)/2</f>
        <v>100</v>
      </c>
      <c r="I5638" s="121"/>
    </row>
    <row r="5639" spans="3:9" ht="16.5" hidden="1" customHeight="1" x14ac:dyDescent="0.25">
      <c r="C5639" s="226"/>
      <c r="D5639" s="119" t="s">
        <v>3940</v>
      </c>
      <c r="E5639" s="169">
        <v>250000000</v>
      </c>
      <c r="F5639" s="243">
        <v>250000000</v>
      </c>
      <c r="G5639" s="379">
        <f t="shared" si="344"/>
        <v>100</v>
      </c>
      <c r="H5639" s="235">
        <v>100</v>
      </c>
      <c r="I5639" s="111"/>
    </row>
    <row r="5640" spans="3:9" ht="16.5" hidden="1" customHeight="1" x14ac:dyDescent="0.25">
      <c r="C5640" s="226"/>
      <c r="D5640" s="119" t="s">
        <v>3941</v>
      </c>
      <c r="E5640" s="169">
        <v>614000000</v>
      </c>
      <c r="F5640" s="243">
        <v>614000000</v>
      </c>
      <c r="G5640" s="379">
        <f t="shared" si="344"/>
        <v>100</v>
      </c>
      <c r="H5640" s="235">
        <v>100</v>
      </c>
      <c r="I5640" s="111"/>
    </row>
    <row r="5641" spans="3:9" ht="9.75" hidden="1" customHeight="1" x14ac:dyDescent="0.25">
      <c r="C5641" s="226"/>
      <c r="D5641" s="355"/>
      <c r="E5641" s="169"/>
      <c r="F5641" s="108"/>
      <c r="G5641" s="117"/>
      <c r="H5641" s="114"/>
      <c r="I5641" s="111"/>
    </row>
    <row r="5642" spans="3:9" ht="16.5" hidden="1" customHeight="1" x14ac:dyDescent="0.25">
      <c r="C5642" s="226"/>
      <c r="D5642" s="217" t="s">
        <v>3942</v>
      </c>
      <c r="E5642" s="168">
        <f>E5647</f>
        <v>500000000</v>
      </c>
      <c r="F5642" s="108"/>
      <c r="G5642" s="117"/>
      <c r="H5642" s="114"/>
      <c r="I5642" s="111"/>
    </row>
    <row r="5643" spans="3:9" s="115" customFormat="1" ht="16.5" hidden="1" customHeight="1" x14ac:dyDescent="0.25">
      <c r="C5643" s="222"/>
      <c r="D5643" s="48" t="s">
        <v>873</v>
      </c>
      <c r="E5643" s="168">
        <f>E5644</f>
        <v>500000000</v>
      </c>
      <c r="F5643" s="242">
        <f>F5644</f>
        <v>435029745</v>
      </c>
      <c r="G5643" s="333">
        <f>(F5643/E5643)*100</f>
        <v>87.005949000000001</v>
      </c>
      <c r="H5643" s="110">
        <f>H5644</f>
        <v>100</v>
      </c>
      <c r="I5643" s="121"/>
    </row>
    <row r="5644" spans="3:9" s="115" customFormat="1" ht="16.5" hidden="1" customHeight="1" x14ac:dyDescent="0.25">
      <c r="C5644" s="222"/>
      <c r="D5644" s="217" t="s">
        <v>874</v>
      </c>
      <c r="E5644" s="168">
        <f>E5645</f>
        <v>500000000</v>
      </c>
      <c r="F5644" s="242">
        <f>F5645</f>
        <v>435029745</v>
      </c>
      <c r="G5644" s="333">
        <f>(F5644/E5644)*100</f>
        <v>87.005949000000001</v>
      </c>
      <c r="H5644" s="110">
        <f>H5645</f>
        <v>100</v>
      </c>
      <c r="I5644" s="121"/>
    </row>
    <row r="5645" spans="3:9" ht="16.5" hidden="1" customHeight="1" x14ac:dyDescent="0.25">
      <c r="C5645" s="226"/>
      <c r="D5645" s="119" t="s">
        <v>3864</v>
      </c>
      <c r="E5645" s="169">
        <v>500000000</v>
      </c>
      <c r="F5645" s="243">
        <v>435029745</v>
      </c>
      <c r="G5645" s="379">
        <f>(F5645/E5645)*100</f>
        <v>87.005949000000001</v>
      </c>
      <c r="H5645" s="235">
        <v>100</v>
      </c>
      <c r="I5645" s="111"/>
    </row>
    <row r="5646" spans="3:9" ht="10.5" hidden="1" customHeight="1" x14ac:dyDescent="0.25">
      <c r="C5646" s="226"/>
      <c r="D5646" s="354"/>
      <c r="E5646" s="169"/>
      <c r="F5646" s="108"/>
      <c r="G5646" s="117"/>
      <c r="H5646" s="114"/>
      <c r="I5646" s="111"/>
    </row>
    <row r="5647" spans="3:9" s="115" customFormat="1" ht="16.5" hidden="1" customHeight="1" x14ac:dyDescent="0.25">
      <c r="C5647" s="222"/>
      <c r="D5647" s="217" t="s">
        <v>329</v>
      </c>
      <c r="E5647" s="168">
        <f>E5648</f>
        <v>500000000</v>
      </c>
      <c r="F5647" s="242">
        <f>F5648</f>
        <v>500000000</v>
      </c>
      <c r="G5647" s="333">
        <f>(F5647/E5647)*100</f>
        <v>100</v>
      </c>
      <c r="H5647" s="110">
        <f>H5648</f>
        <v>100</v>
      </c>
      <c r="I5647" s="121"/>
    </row>
    <row r="5648" spans="3:9" s="115" customFormat="1" ht="16.5" hidden="1" customHeight="1" x14ac:dyDescent="0.25">
      <c r="C5648" s="222"/>
      <c r="D5648" s="217" t="s">
        <v>1462</v>
      </c>
      <c r="E5648" s="168">
        <f>SUM(E5649:E5649)</f>
        <v>500000000</v>
      </c>
      <c r="F5648" s="242">
        <f>SUM(F5649:F5649)</f>
        <v>500000000</v>
      </c>
      <c r="G5648" s="333">
        <f>(F5648/E5648)*100</f>
        <v>100</v>
      </c>
      <c r="H5648" s="110">
        <f>H5649</f>
        <v>100</v>
      </c>
      <c r="I5648" s="121"/>
    </row>
    <row r="5649" spans="3:9" ht="16.5" hidden="1" customHeight="1" x14ac:dyDescent="0.25">
      <c r="C5649" s="226"/>
      <c r="D5649" s="119" t="s">
        <v>3282</v>
      </c>
      <c r="E5649" s="169">
        <v>500000000</v>
      </c>
      <c r="F5649" s="243">
        <v>500000000</v>
      </c>
      <c r="G5649" s="379">
        <f>(F5649/E5649)*100</f>
        <v>100</v>
      </c>
      <c r="H5649" s="235">
        <v>100</v>
      </c>
      <c r="I5649" s="111"/>
    </row>
    <row r="5650" spans="3:9" ht="10.5" hidden="1" customHeight="1" x14ac:dyDescent="0.25">
      <c r="C5650" s="226"/>
      <c r="D5650" s="355"/>
      <c r="E5650" s="169"/>
      <c r="F5650" s="108"/>
      <c r="G5650" s="117"/>
      <c r="H5650" s="114"/>
      <c r="I5650" s="111"/>
    </row>
    <row r="5651" spans="3:9" s="115" customFormat="1" ht="16.5" hidden="1" customHeight="1" x14ac:dyDescent="0.25">
      <c r="C5651" s="222"/>
      <c r="D5651" s="217" t="s">
        <v>765</v>
      </c>
      <c r="E5651" s="168">
        <f>E5652+E5655+E5657</f>
        <v>6848762750</v>
      </c>
      <c r="F5651" s="242">
        <f>F5652+F5655+F5657</f>
        <v>6735915850</v>
      </c>
      <c r="G5651" s="333">
        <f t="shared" ref="G5651:G5659" si="345">(F5651/E5651)*100</f>
        <v>98.352302392136451</v>
      </c>
      <c r="H5651" s="110">
        <f>SUM(H5652+H5655+H5657)/3</f>
        <v>100</v>
      </c>
      <c r="I5651" s="650"/>
    </row>
    <row r="5652" spans="3:9" s="115" customFormat="1" ht="16.5" hidden="1" customHeight="1" x14ac:dyDescent="0.25">
      <c r="C5652" s="222"/>
      <c r="D5652" s="217" t="s">
        <v>418</v>
      </c>
      <c r="E5652" s="168">
        <f>E5653+E5654</f>
        <v>2406262750</v>
      </c>
      <c r="F5652" s="242">
        <f>F5653+F5654</f>
        <v>2361784950</v>
      </c>
      <c r="G5652" s="333">
        <f t="shared" si="345"/>
        <v>98.151581742268164</v>
      </c>
      <c r="H5652" s="110">
        <f>SUM(H5653:H5654)/2</f>
        <v>100</v>
      </c>
      <c r="I5652" s="121"/>
    </row>
    <row r="5653" spans="3:9" ht="16.5" hidden="1" customHeight="1" x14ac:dyDescent="0.25">
      <c r="C5653" s="226"/>
      <c r="D5653" s="119" t="s">
        <v>3943</v>
      </c>
      <c r="E5653" s="169">
        <v>452907750</v>
      </c>
      <c r="F5653" s="243">
        <v>452342950</v>
      </c>
      <c r="G5653" s="379">
        <f t="shared" si="345"/>
        <v>99.875294693014197</v>
      </c>
      <c r="H5653" s="235">
        <v>100</v>
      </c>
      <c r="I5653" s="111"/>
    </row>
    <row r="5654" spans="3:9" ht="16.5" hidden="1" customHeight="1" x14ac:dyDescent="0.25">
      <c r="C5654" s="226"/>
      <c r="D5654" s="119" t="s">
        <v>3944</v>
      </c>
      <c r="E5654" s="169">
        <v>1953355000</v>
      </c>
      <c r="F5654" s="243">
        <v>1909442000</v>
      </c>
      <c r="G5654" s="379">
        <f t="shared" si="345"/>
        <v>97.75191913400279</v>
      </c>
      <c r="H5654" s="235">
        <v>100</v>
      </c>
      <c r="I5654" s="111"/>
    </row>
    <row r="5655" spans="3:9" s="115" customFormat="1" ht="16.5" hidden="1" customHeight="1" x14ac:dyDescent="0.25">
      <c r="C5655" s="222"/>
      <c r="D5655" s="217" t="s">
        <v>768</v>
      </c>
      <c r="E5655" s="168">
        <f>E5656</f>
        <v>2050000000</v>
      </c>
      <c r="F5655" s="242">
        <f>F5656</f>
        <v>2004645900</v>
      </c>
      <c r="G5655" s="333">
        <f t="shared" si="345"/>
        <v>97.787604878048782</v>
      </c>
      <c r="H5655" s="110">
        <f>H5656</f>
        <v>100</v>
      </c>
      <c r="I5655" s="121"/>
    </row>
    <row r="5656" spans="3:9" ht="16.5" hidden="1" customHeight="1" x14ac:dyDescent="0.25">
      <c r="C5656" s="226"/>
      <c r="D5656" s="119" t="s">
        <v>3945</v>
      </c>
      <c r="E5656" s="169">
        <v>2050000000</v>
      </c>
      <c r="F5656" s="243">
        <v>2004645900</v>
      </c>
      <c r="G5656" s="379">
        <f t="shared" si="345"/>
        <v>97.787604878048782</v>
      </c>
      <c r="H5656" s="235">
        <v>100</v>
      </c>
      <c r="I5656" s="111"/>
    </row>
    <row r="5657" spans="3:9" s="115" customFormat="1" ht="16.5" hidden="1" customHeight="1" x14ac:dyDescent="0.25">
      <c r="C5657" s="222"/>
      <c r="D5657" s="217" t="s">
        <v>3946</v>
      </c>
      <c r="E5657" s="168">
        <f>SUM(E5658:E5659)</f>
        <v>2392500000</v>
      </c>
      <c r="F5657" s="242">
        <f>SUM(F5658:F5659)</f>
        <v>2369485000</v>
      </c>
      <c r="G5657" s="333">
        <f t="shared" si="345"/>
        <v>99.03803552769071</v>
      </c>
      <c r="H5657" s="110">
        <f>SUM(H5658:H5659)/2</f>
        <v>100</v>
      </c>
      <c r="I5657" s="121"/>
    </row>
    <row r="5658" spans="3:9" ht="16.5" hidden="1" customHeight="1" x14ac:dyDescent="0.25">
      <c r="C5658" s="226"/>
      <c r="D5658" s="119" t="s">
        <v>3947</v>
      </c>
      <c r="E5658" s="169">
        <v>392500000</v>
      </c>
      <c r="F5658" s="243">
        <v>390500000</v>
      </c>
      <c r="G5658" s="379">
        <f t="shared" si="345"/>
        <v>99.490445859872608</v>
      </c>
      <c r="H5658" s="235">
        <v>100</v>
      </c>
      <c r="I5658" s="111"/>
    </row>
    <row r="5659" spans="3:9" ht="16.5" hidden="1" customHeight="1" x14ac:dyDescent="0.25">
      <c r="C5659" s="226"/>
      <c r="D5659" s="119" t="s">
        <v>3948</v>
      </c>
      <c r="E5659" s="169">
        <v>2000000000</v>
      </c>
      <c r="F5659" s="243">
        <v>1978985000</v>
      </c>
      <c r="G5659" s="379">
        <f t="shared" si="345"/>
        <v>98.949250000000006</v>
      </c>
      <c r="H5659" s="235">
        <v>100</v>
      </c>
      <c r="I5659" s="111"/>
    </row>
    <row r="5660" spans="3:9" ht="11.25" hidden="1" customHeight="1" x14ac:dyDescent="0.25">
      <c r="C5660" s="226"/>
      <c r="D5660" s="355"/>
      <c r="E5660" s="169"/>
      <c r="F5660" s="108"/>
      <c r="G5660" s="117"/>
      <c r="H5660" s="114"/>
      <c r="I5660" s="111"/>
    </row>
    <row r="5661" spans="3:9" s="115" customFormat="1" ht="16.5" hidden="1" customHeight="1" x14ac:dyDescent="0.25">
      <c r="C5661" s="222"/>
      <c r="D5661" s="217" t="s">
        <v>429</v>
      </c>
      <c r="E5661" s="168">
        <f>E5662</f>
        <v>250000000</v>
      </c>
      <c r="F5661" s="242">
        <f t="shared" ref="F5661:F5662" si="346">F5662</f>
        <v>212600000</v>
      </c>
      <c r="G5661" s="333">
        <f>(F5661/E5661)*100</f>
        <v>85.04</v>
      </c>
      <c r="H5661" s="110">
        <f>H5662</f>
        <v>100</v>
      </c>
      <c r="I5661" s="121"/>
    </row>
    <row r="5662" spans="3:9" s="115" customFormat="1" ht="16.5" hidden="1" customHeight="1" x14ac:dyDescent="0.25">
      <c r="C5662" s="222"/>
      <c r="D5662" s="217" t="s">
        <v>400</v>
      </c>
      <c r="E5662" s="168">
        <f>E5663</f>
        <v>250000000</v>
      </c>
      <c r="F5662" s="242">
        <f t="shared" si="346"/>
        <v>212600000</v>
      </c>
      <c r="G5662" s="333">
        <f>(F5662/E5662)*100</f>
        <v>85.04</v>
      </c>
      <c r="H5662" s="110">
        <f>H5663</f>
        <v>100</v>
      </c>
      <c r="I5662" s="121"/>
    </row>
    <row r="5663" spans="3:9" ht="16.5" hidden="1" customHeight="1" x14ac:dyDescent="0.25">
      <c r="C5663" s="226"/>
      <c r="D5663" s="119" t="s">
        <v>3949</v>
      </c>
      <c r="E5663" s="169">
        <v>250000000</v>
      </c>
      <c r="F5663" s="243">
        <v>212600000</v>
      </c>
      <c r="G5663" s="379">
        <f>(F5663/E5663)*100</f>
        <v>85.04</v>
      </c>
      <c r="H5663" s="235">
        <v>100</v>
      </c>
      <c r="I5663" s="111"/>
    </row>
    <row r="5664" spans="3:9" ht="11.25" hidden="1" customHeight="1" x14ac:dyDescent="0.25">
      <c r="C5664" s="226"/>
      <c r="D5664" s="355"/>
      <c r="E5664" s="169"/>
      <c r="F5664" s="108"/>
      <c r="G5664" s="117"/>
      <c r="H5664" s="114"/>
      <c r="I5664" s="111"/>
    </row>
    <row r="5665" spans="3:9" s="115" customFormat="1" ht="16.5" hidden="1" customHeight="1" x14ac:dyDescent="0.25">
      <c r="C5665" s="222"/>
      <c r="D5665" s="217" t="s">
        <v>3950</v>
      </c>
      <c r="E5665" s="168">
        <f>E5666+E5676+E5678+E5681+E5687</f>
        <v>9190000000</v>
      </c>
      <c r="F5665" s="242">
        <f>F5666+F5676+F5678+F5681+F5687</f>
        <v>8983950400</v>
      </c>
      <c r="G5665" s="333">
        <f t="shared" ref="G5665:G5689" si="347">(F5665/E5665)*100</f>
        <v>97.757893362350373</v>
      </c>
      <c r="H5665" s="110">
        <f>SUM(H5666+H5676+H5678+H5681+H5687)/5</f>
        <v>100</v>
      </c>
      <c r="I5665" s="121"/>
    </row>
    <row r="5666" spans="3:9" s="115" customFormat="1" ht="16.5" hidden="1" customHeight="1" x14ac:dyDescent="0.25">
      <c r="C5666" s="222"/>
      <c r="D5666" s="217" t="s">
        <v>1433</v>
      </c>
      <c r="E5666" s="168">
        <f>SUM(E5667:E5675)</f>
        <v>3400000000</v>
      </c>
      <c r="F5666" s="242">
        <f>SUM(F5667:F5675)</f>
        <v>3370884000</v>
      </c>
      <c r="G5666" s="333">
        <f t="shared" si="347"/>
        <v>99.143647058823518</v>
      </c>
      <c r="H5666" s="110">
        <f>SUM(H5667:H5675)/9</f>
        <v>100</v>
      </c>
      <c r="I5666" s="121"/>
    </row>
    <row r="5667" spans="3:9" ht="16.5" hidden="1" customHeight="1" x14ac:dyDescent="0.25">
      <c r="C5667" s="226"/>
      <c r="D5667" s="119" t="s">
        <v>320</v>
      </c>
      <c r="E5667" s="169">
        <v>350000000</v>
      </c>
      <c r="F5667" s="243">
        <v>346092000</v>
      </c>
      <c r="G5667" s="379">
        <f t="shared" si="347"/>
        <v>98.883428571428567</v>
      </c>
      <c r="H5667" s="365">
        <v>100</v>
      </c>
      <c r="I5667" s="111"/>
    </row>
    <row r="5668" spans="3:9" ht="16.5" hidden="1" customHeight="1" x14ac:dyDescent="0.25">
      <c r="C5668" s="226"/>
      <c r="D5668" s="119" t="s">
        <v>3951</v>
      </c>
      <c r="E5668" s="169">
        <v>200000000</v>
      </c>
      <c r="F5668" s="243">
        <v>197630000</v>
      </c>
      <c r="G5668" s="379">
        <f t="shared" si="347"/>
        <v>98.814999999999998</v>
      </c>
      <c r="H5668" s="365">
        <v>100</v>
      </c>
      <c r="I5668" s="111"/>
    </row>
    <row r="5669" spans="3:9" ht="18.75" hidden="1" customHeight="1" x14ac:dyDescent="0.25">
      <c r="C5669" s="226"/>
      <c r="D5669" s="119" t="s">
        <v>3952</v>
      </c>
      <c r="E5669" s="169">
        <v>200000000</v>
      </c>
      <c r="F5669" s="243">
        <v>197575000</v>
      </c>
      <c r="G5669" s="379">
        <f t="shared" si="347"/>
        <v>98.787499999999994</v>
      </c>
      <c r="H5669" s="365">
        <v>100</v>
      </c>
      <c r="I5669" s="111"/>
    </row>
    <row r="5670" spans="3:9" ht="16.5" hidden="1" customHeight="1" x14ac:dyDescent="0.25">
      <c r="C5670" s="226"/>
      <c r="D5670" s="119" t="s">
        <v>3953</v>
      </c>
      <c r="E5670" s="169">
        <v>500000000</v>
      </c>
      <c r="F5670" s="243">
        <v>494426000</v>
      </c>
      <c r="G5670" s="379">
        <f t="shared" si="347"/>
        <v>98.885199999999998</v>
      </c>
      <c r="H5670" s="365">
        <v>100</v>
      </c>
      <c r="I5670" s="111"/>
    </row>
    <row r="5671" spans="3:9" ht="16.5" hidden="1" customHeight="1" x14ac:dyDescent="0.25">
      <c r="C5671" s="226"/>
      <c r="D5671" s="119" t="s">
        <v>1057</v>
      </c>
      <c r="E5671" s="169">
        <v>450000000</v>
      </c>
      <c r="F5671" s="243">
        <v>446299000</v>
      </c>
      <c r="G5671" s="379">
        <f t="shared" si="347"/>
        <v>99.177555555555557</v>
      </c>
      <c r="H5671" s="365">
        <v>100</v>
      </c>
      <c r="I5671" s="111"/>
    </row>
    <row r="5672" spans="3:9" ht="16.5" hidden="1" customHeight="1" x14ac:dyDescent="0.25">
      <c r="C5672" s="226"/>
      <c r="D5672" s="119" t="s">
        <v>3954</v>
      </c>
      <c r="E5672" s="169">
        <v>350000000</v>
      </c>
      <c r="F5672" s="243">
        <v>347200000</v>
      </c>
      <c r="G5672" s="379">
        <f t="shared" si="347"/>
        <v>99.2</v>
      </c>
      <c r="H5672" s="365">
        <v>100</v>
      </c>
      <c r="I5672" s="111"/>
    </row>
    <row r="5673" spans="3:9" ht="16.5" hidden="1" customHeight="1" x14ac:dyDescent="0.25">
      <c r="C5673" s="226"/>
      <c r="D5673" s="119" t="s">
        <v>3955</v>
      </c>
      <c r="E5673" s="169">
        <v>250000000</v>
      </c>
      <c r="F5673" s="243">
        <v>249964000</v>
      </c>
      <c r="G5673" s="379">
        <f t="shared" si="347"/>
        <v>99.985599999999991</v>
      </c>
      <c r="H5673" s="365">
        <v>100</v>
      </c>
      <c r="I5673" s="111"/>
    </row>
    <row r="5674" spans="3:9" ht="16.5" hidden="1" customHeight="1" x14ac:dyDescent="0.25">
      <c r="C5674" s="226"/>
      <c r="D5674" s="119" t="s">
        <v>3956</v>
      </c>
      <c r="E5674" s="169">
        <v>700000000</v>
      </c>
      <c r="F5674" s="243">
        <v>694840000</v>
      </c>
      <c r="G5674" s="379">
        <f t="shared" si="347"/>
        <v>99.262857142857143</v>
      </c>
      <c r="H5674" s="365">
        <v>100</v>
      </c>
      <c r="I5674" s="111"/>
    </row>
    <row r="5675" spans="3:9" ht="34.5" hidden="1" customHeight="1" x14ac:dyDescent="0.25">
      <c r="C5675" s="226"/>
      <c r="D5675" s="119" t="s">
        <v>3957</v>
      </c>
      <c r="E5675" s="169">
        <v>400000000</v>
      </c>
      <c r="F5675" s="243">
        <v>396858000</v>
      </c>
      <c r="G5675" s="379">
        <f t="shared" si="347"/>
        <v>99.214500000000001</v>
      </c>
      <c r="H5675" s="365">
        <v>100</v>
      </c>
      <c r="I5675" s="111"/>
    </row>
    <row r="5676" spans="3:9" s="115" customFormat="1" ht="16.5" hidden="1" customHeight="1" x14ac:dyDescent="0.25">
      <c r="C5676" s="222"/>
      <c r="D5676" s="217" t="s">
        <v>464</v>
      </c>
      <c r="E5676" s="168">
        <f>E5677</f>
        <v>500000000</v>
      </c>
      <c r="F5676" s="242">
        <f>F5677</f>
        <v>493835400</v>
      </c>
      <c r="G5676" s="333">
        <f t="shared" si="347"/>
        <v>98.767079999999993</v>
      </c>
      <c r="H5676" s="110">
        <f>H5677</f>
        <v>100</v>
      </c>
      <c r="I5676" s="121"/>
    </row>
    <row r="5677" spans="3:9" ht="16.5" hidden="1" customHeight="1" x14ac:dyDescent="0.25">
      <c r="C5677" s="226"/>
      <c r="D5677" s="119" t="s">
        <v>3958</v>
      </c>
      <c r="E5677" s="169">
        <v>500000000</v>
      </c>
      <c r="F5677" s="243">
        <v>493835400</v>
      </c>
      <c r="G5677" s="379">
        <f t="shared" si="347"/>
        <v>98.767079999999993</v>
      </c>
      <c r="H5677" s="235">
        <v>100</v>
      </c>
      <c r="I5677" s="111"/>
    </row>
    <row r="5678" spans="3:9" s="115" customFormat="1" ht="16.5" hidden="1" customHeight="1" x14ac:dyDescent="0.25">
      <c r="C5678" s="222"/>
      <c r="D5678" s="217" t="s">
        <v>468</v>
      </c>
      <c r="E5678" s="168">
        <f>E5679+E5680</f>
        <v>1190000000</v>
      </c>
      <c r="F5678" s="242">
        <f>F5679+F5680</f>
        <v>1094450000</v>
      </c>
      <c r="G5678" s="333">
        <f t="shared" si="347"/>
        <v>91.970588235294116</v>
      </c>
      <c r="H5678" s="110">
        <f>SUM(H5679:H5680)/2</f>
        <v>100</v>
      </c>
      <c r="I5678" s="121"/>
    </row>
    <row r="5679" spans="3:9" ht="16.5" hidden="1" customHeight="1" x14ac:dyDescent="0.25">
      <c r="C5679" s="226"/>
      <c r="D5679" s="119" t="s">
        <v>3959</v>
      </c>
      <c r="E5679" s="169">
        <v>440000000</v>
      </c>
      <c r="F5679" s="243">
        <v>437250000</v>
      </c>
      <c r="G5679" s="379">
        <f t="shared" si="347"/>
        <v>99.375</v>
      </c>
      <c r="H5679" s="235">
        <v>100</v>
      </c>
      <c r="I5679" s="111"/>
    </row>
    <row r="5680" spans="3:9" ht="16.5" hidden="1" customHeight="1" x14ac:dyDescent="0.25">
      <c r="C5680" s="226"/>
      <c r="D5680" s="119" t="s">
        <v>3960</v>
      </c>
      <c r="E5680" s="169">
        <v>750000000</v>
      </c>
      <c r="F5680" s="243">
        <v>657200000</v>
      </c>
      <c r="G5680" s="379">
        <f t="shared" si="347"/>
        <v>87.626666666666665</v>
      </c>
      <c r="H5680" s="235">
        <v>100</v>
      </c>
      <c r="I5680" s="111"/>
    </row>
    <row r="5681" spans="3:9" s="115" customFormat="1" ht="16.5" hidden="1" customHeight="1" x14ac:dyDescent="0.25">
      <c r="C5681" s="222"/>
      <c r="D5681" s="217" t="s">
        <v>496</v>
      </c>
      <c r="E5681" s="168">
        <f>SUM(E5682:E5686)</f>
        <v>2000000000</v>
      </c>
      <c r="F5681" s="242">
        <f>SUM(F5682:F5686)</f>
        <v>1956605000</v>
      </c>
      <c r="G5681" s="333">
        <f t="shared" si="347"/>
        <v>97.830249999999992</v>
      </c>
      <c r="H5681" s="110">
        <f>SUM(H5682:H5686)/5</f>
        <v>100</v>
      </c>
      <c r="I5681" s="121"/>
    </row>
    <row r="5682" spans="3:9" ht="16.5" hidden="1" customHeight="1" x14ac:dyDescent="0.25">
      <c r="C5682" s="226"/>
      <c r="D5682" s="119" t="s">
        <v>498</v>
      </c>
      <c r="E5682" s="169">
        <v>200000000</v>
      </c>
      <c r="F5682" s="243">
        <v>194100000</v>
      </c>
      <c r="G5682" s="379">
        <f t="shared" si="347"/>
        <v>97.05</v>
      </c>
      <c r="H5682" s="235">
        <v>100</v>
      </c>
      <c r="I5682" s="111"/>
    </row>
    <row r="5683" spans="3:9" ht="16.5" hidden="1" customHeight="1" x14ac:dyDescent="0.25">
      <c r="C5683" s="226"/>
      <c r="D5683" s="119" t="s">
        <v>501</v>
      </c>
      <c r="E5683" s="169">
        <v>500000000</v>
      </c>
      <c r="F5683" s="243">
        <v>487536000</v>
      </c>
      <c r="G5683" s="379">
        <f t="shared" si="347"/>
        <v>97.507200000000012</v>
      </c>
      <c r="H5683" s="235">
        <v>100</v>
      </c>
      <c r="I5683" s="111"/>
    </row>
    <row r="5684" spans="3:9" ht="16.5" hidden="1" customHeight="1" x14ac:dyDescent="0.25">
      <c r="C5684" s="226"/>
      <c r="D5684" s="119" t="s">
        <v>2857</v>
      </c>
      <c r="E5684" s="169">
        <v>350000000</v>
      </c>
      <c r="F5684" s="243">
        <v>346025000</v>
      </c>
      <c r="G5684" s="379">
        <f t="shared" si="347"/>
        <v>98.864285714285714</v>
      </c>
      <c r="H5684" s="235">
        <v>100</v>
      </c>
      <c r="I5684" s="111"/>
    </row>
    <row r="5685" spans="3:9" ht="16.5" hidden="1" customHeight="1" x14ac:dyDescent="0.25">
      <c r="C5685" s="226"/>
      <c r="D5685" s="119" t="s">
        <v>3961</v>
      </c>
      <c r="E5685" s="169">
        <v>350000000</v>
      </c>
      <c r="F5685" s="243">
        <v>343406000</v>
      </c>
      <c r="G5685" s="379">
        <f t="shared" si="347"/>
        <v>98.116</v>
      </c>
      <c r="H5685" s="235">
        <v>100</v>
      </c>
      <c r="I5685" s="111"/>
    </row>
    <row r="5686" spans="3:9" ht="16.5" hidden="1" customHeight="1" x14ac:dyDescent="0.25">
      <c r="C5686" s="226"/>
      <c r="D5686" s="119" t="s">
        <v>3962</v>
      </c>
      <c r="E5686" s="169">
        <v>600000000</v>
      </c>
      <c r="F5686" s="243">
        <v>585538000</v>
      </c>
      <c r="G5686" s="379">
        <f t="shared" si="347"/>
        <v>97.589666666666659</v>
      </c>
      <c r="H5686" s="235">
        <v>100</v>
      </c>
      <c r="I5686" s="111"/>
    </row>
    <row r="5687" spans="3:9" s="115" customFormat="1" ht="16.5" hidden="1" customHeight="1" x14ac:dyDescent="0.25">
      <c r="C5687" s="222"/>
      <c r="D5687" s="217" t="s">
        <v>517</v>
      </c>
      <c r="E5687" s="168">
        <f>SUM(E5688:E5689)</f>
        <v>2100000000</v>
      </c>
      <c r="F5687" s="242">
        <f>SUM(F5688:F5689)</f>
        <v>2068176000</v>
      </c>
      <c r="G5687" s="333">
        <f t="shared" si="347"/>
        <v>98.484571428571428</v>
      </c>
      <c r="H5687" s="110">
        <f>SUM(H5688:H5689)/2</f>
        <v>100</v>
      </c>
      <c r="I5687" s="121"/>
    </row>
    <row r="5688" spans="3:9" ht="16.5" hidden="1" customHeight="1" x14ac:dyDescent="0.25">
      <c r="C5688" s="226"/>
      <c r="D5688" s="119" t="s">
        <v>1070</v>
      </c>
      <c r="E5688" s="169">
        <v>1400000000</v>
      </c>
      <c r="F5688" s="243">
        <v>1368689000</v>
      </c>
      <c r="G5688" s="379">
        <f t="shared" si="347"/>
        <v>97.763500000000008</v>
      </c>
      <c r="H5688" s="235">
        <v>100</v>
      </c>
      <c r="I5688" s="111"/>
    </row>
    <row r="5689" spans="3:9" ht="16.5" hidden="1" customHeight="1" x14ac:dyDescent="0.25">
      <c r="C5689" s="226"/>
      <c r="D5689" s="119" t="s">
        <v>3229</v>
      </c>
      <c r="E5689" s="169">
        <v>700000000</v>
      </c>
      <c r="F5689" s="243">
        <v>699487000</v>
      </c>
      <c r="G5689" s="379">
        <f t="shared" si="347"/>
        <v>99.926714285714297</v>
      </c>
      <c r="H5689" s="235">
        <v>100</v>
      </c>
      <c r="I5689" s="111"/>
    </row>
    <row r="5690" spans="3:9" ht="11.25" hidden="1" customHeight="1" x14ac:dyDescent="0.25">
      <c r="C5690" s="226"/>
      <c r="D5690" s="355"/>
      <c r="E5690" s="169"/>
      <c r="F5690" s="108"/>
      <c r="G5690" s="117"/>
      <c r="H5690" s="114"/>
      <c r="I5690" s="111"/>
    </row>
    <row r="5691" spans="3:9" s="115" customFormat="1" ht="16.5" hidden="1" customHeight="1" x14ac:dyDescent="0.25">
      <c r="C5691" s="222"/>
      <c r="D5691" s="217" t="s">
        <v>3963</v>
      </c>
      <c r="E5691" s="168">
        <f>E5692+E5694+E5698+E5700+E5703+E5705</f>
        <v>7450000000</v>
      </c>
      <c r="F5691" s="242">
        <f>F5692+F5694+F5698+F5700+F5703+F5705</f>
        <v>7365016960</v>
      </c>
      <c r="G5691" s="333">
        <f t="shared" ref="G5691:G5710" si="348">(F5691/E5691)*100</f>
        <v>98.859288053691273</v>
      </c>
      <c r="H5691" s="110">
        <f>SUM(H5692+H5694+H5698+H5700+H5703+H5705)/6</f>
        <v>100</v>
      </c>
      <c r="I5691" s="121"/>
    </row>
    <row r="5692" spans="3:9" s="115" customFormat="1" ht="16.5" hidden="1" customHeight="1" x14ac:dyDescent="0.25">
      <c r="C5692" s="222"/>
      <c r="D5692" s="217" t="s">
        <v>3964</v>
      </c>
      <c r="E5692" s="168">
        <f>E5693</f>
        <v>1502574000</v>
      </c>
      <c r="F5692" s="242">
        <f>F5693</f>
        <v>1484178000</v>
      </c>
      <c r="G5692" s="333">
        <f t="shared" si="348"/>
        <v>98.775700897260293</v>
      </c>
      <c r="H5692" s="110">
        <f>H5693</f>
        <v>100</v>
      </c>
      <c r="I5692" s="121"/>
    </row>
    <row r="5693" spans="3:9" ht="23.25" hidden="1" customHeight="1" x14ac:dyDescent="0.25">
      <c r="C5693" s="226"/>
      <c r="D5693" s="119" t="s">
        <v>3965</v>
      </c>
      <c r="E5693" s="169">
        <v>1502574000</v>
      </c>
      <c r="F5693" s="243">
        <v>1484178000</v>
      </c>
      <c r="G5693" s="379">
        <f t="shared" si="348"/>
        <v>98.775700897260293</v>
      </c>
      <c r="H5693" s="235">
        <v>100</v>
      </c>
      <c r="I5693" s="111"/>
    </row>
    <row r="5694" spans="3:9" ht="23.25" hidden="1" customHeight="1" x14ac:dyDescent="0.25">
      <c r="C5694" s="226"/>
      <c r="D5694" s="119" t="s">
        <v>364</v>
      </c>
      <c r="E5694" s="168">
        <f>E5695+E5696+E5697</f>
        <v>661024000</v>
      </c>
      <c r="F5694" s="243">
        <f>F5695+F5696+F5697</f>
        <v>654764000</v>
      </c>
      <c r="G5694" s="379">
        <f t="shared" si="348"/>
        <v>99.052984460473454</v>
      </c>
      <c r="H5694" s="235">
        <f>SUM(H5695:H5697)/3</f>
        <v>100</v>
      </c>
      <c r="I5694" s="111"/>
    </row>
    <row r="5695" spans="3:9" ht="16.5" hidden="1" customHeight="1" x14ac:dyDescent="0.25">
      <c r="C5695" s="226"/>
      <c r="D5695" s="119" t="s">
        <v>3966</v>
      </c>
      <c r="E5695" s="169">
        <v>215000000</v>
      </c>
      <c r="F5695" s="243">
        <v>215000000</v>
      </c>
      <c r="G5695" s="379">
        <f t="shared" si="348"/>
        <v>100</v>
      </c>
      <c r="H5695" s="235">
        <v>100</v>
      </c>
      <c r="I5695" s="111"/>
    </row>
    <row r="5696" spans="3:9" ht="16.5" hidden="1" customHeight="1" x14ac:dyDescent="0.25">
      <c r="C5696" s="226"/>
      <c r="D5696" s="119" t="s">
        <v>3967</v>
      </c>
      <c r="E5696" s="169">
        <v>197445000</v>
      </c>
      <c r="F5696" s="243">
        <v>193945000</v>
      </c>
      <c r="G5696" s="379">
        <f t="shared" si="348"/>
        <v>98.227354453138844</v>
      </c>
      <c r="H5696" s="235">
        <v>100</v>
      </c>
      <c r="I5696" s="111"/>
    </row>
    <row r="5697" spans="3:9" ht="16.5" hidden="1" customHeight="1" x14ac:dyDescent="0.25">
      <c r="C5697" s="226"/>
      <c r="D5697" s="119" t="s">
        <v>3968</v>
      </c>
      <c r="E5697" s="169">
        <v>248579000</v>
      </c>
      <c r="F5697" s="243">
        <v>245819000</v>
      </c>
      <c r="G5697" s="379">
        <f t="shared" si="348"/>
        <v>98.889688992231854</v>
      </c>
      <c r="H5697" s="235">
        <v>100</v>
      </c>
      <c r="I5697" s="111"/>
    </row>
    <row r="5698" spans="3:9" s="115" customFormat="1" ht="16.5" hidden="1" customHeight="1" x14ac:dyDescent="0.25">
      <c r="C5698" s="222"/>
      <c r="D5698" s="217" t="s">
        <v>367</v>
      </c>
      <c r="E5698" s="168">
        <f>E5699</f>
        <v>328895000</v>
      </c>
      <c r="F5698" s="242">
        <f>F5699</f>
        <v>323895000</v>
      </c>
      <c r="G5698" s="333">
        <f t="shared" si="348"/>
        <v>98.479757977470015</v>
      </c>
      <c r="H5698" s="110">
        <f>H5699</f>
        <v>100</v>
      </c>
      <c r="I5698" s="121"/>
    </row>
    <row r="5699" spans="3:9" ht="16.5" hidden="1" customHeight="1" x14ac:dyDescent="0.25">
      <c r="C5699" s="226"/>
      <c r="D5699" s="119" t="s">
        <v>3969</v>
      </c>
      <c r="E5699" s="169">
        <v>328895000</v>
      </c>
      <c r="F5699" s="243">
        <v>323895000</v>
      </c>
      <c r="G5699" s="379">
        <f t="shared" si="348"/>
        <v>98.479757977470015</v>
      </c>
      <c r="H5699" s="235">
        <v>100</v>
      </c>
      <c r="I5699" s="111"/>
    </row>
    <row r="5700" spans="3:9" s="115" customFormat="1" ht="16.5" hidden="1" customHeight="1" x14ac:dyDescent="0.25">
      <c r="C5700" s="222"/>
      <c r="D5700" s="217" t="s">
        <v>370</v>
      </c>
      <c r="E5700" s="168">
        <f>SUM(E5701:E5702)</f>
        <v>1541451000</v>
      </c>
      <c r="F5700" s="242">
        <f>SUM(F5701:F5702)</f>
        <v>1508114000</v>
      </c>
      <c r="G5700" s="333">
        <f t="shared" si="348"/>
        <v>97.837297455449445</v>
      </c>
      <c r="H5700" s="110">
        <f>SUM(H5701:H5702)/2</f>
        <v>100</v>
      </c>
      <c r="I5700" s="121"/>
    </row>
    <row r="5701" spans="3:9" ht="16.5" hidden="1" customHeight="1" x14ac:dyDescent="0.25">
      <c r="C5701" s="226"/>
      <c r="D5701" s="119" t="s">
        <v>3970</v>
      </c>
      <c r="E5701" s="169">
        <v>502969000</v>
      </c>
      <c r="F5701" s="243">
        <v>498093000</v>
      </c>
      <c r="G5701" s="379">
        <f t="shared" si="348"/>
        <v>99.030556555175366</v>
      </c>
      <c r="H5701" s="235">
        <v>100</v>
      </c>
      <c r="I5701" s="111"/>
    </row>
    <row r="5702" spans="3:9" ht="16.5" hidden="1" customHeight="1" x14ac:dyDescent="0.25">
      <c r="C5702" s="226"/>
      <c r="D5702" s="119" t="s">
        <v>3971</v>
      </c>
      <c r="E5702" s="169">
        <v>1038482000</v>
      </c>
      <c r="F5702" s="243">
        <v>1010021000</v>
      </c>
      <c r="G5702" s="379">
        <f t="shared" si="348"/>
        <v>97.259365111768915</v>
      </c>
      <c r="H5702" s="235">
        <v>100</v>
      </c>
      <c r="I5702" s="111"/>
    </row>
    <row r="5703" spans="3:9" s="115" customFormat="1" ht="16.5" hidden="1" customHeight="1" x14ac:dyDescent="0.25">
      <c r="C5703" s="222"/>
      <c r="D5703" s="217" t="s">
        <v>784</v>
      </c>
      <c r="E5703" s="168">
        <f>E5704</f>
        <v>1000000000</v>
      </c>
      <c r="F5703" s="242">
        <f>F5704</f>
        <v>997258200</v>
      </c>
      <c r="G5703" s="333">
        <f t="shared" si="348"/>
        <v>99.725819999999999</v>
      </c>
      <c r="H5703" s="110">
        <f>H5704</f>
        <v>100</v>
      </c>
      <c r="I5703" s="121"/>
    </row>
    <row r="5704" spans="3:9" ht="16.5" hidden="1" customHeight="1" x14ac:dyDescent="0.25">
      <c r="C5704" s="226"/>
      <c r="D5704" s="119" t="s">
        <v>1321</v>
      </c>
      <c r="E5704" s="169">
        <v>1000000000</v>
      </c>
      <c r="F5704" s="243">
        <v>997258200</v>
      </c>
      <c r="G5704" s="379">
        <f t="shared" si="348"/>
        <v>99.725819999999999</v>
      </c>
      <c r="H5704" s="235">
        <v>100</v>
      </c>
      <c r="I5704" s="111"/>
    </row>
    <row r="5705" spans="3:9" s="115" customFormat="1" ht="16.5" hidden="1" customHeight="1" x14ac:dyDescent="0.25">
      <c r="C5705" s="222"/>
      <c r="D5705" s="217" t="s">
        <v>780</v>
      </c>
      <c r="E5705" s="168">
        <f>SUM(E5706:E5710)</f>
        <v>2416056000</v>
      </c>
      <c r="F5705" s="242">
        <f>SUM(F5706:F5710)</f>
        <v>2396807760</v>
      </c>
      <c r="G5705" s="333">
        <f t="shared" si="348"/>
        <v>99.203319790600872</v>
      </c>
      <c r="H5705" s="110">
        <f>SUM(H5706:H5710)/5</f>
        <v>100</v>
      </c>
      <c r="I5705" s="121"/>
    </row>
    <row r="5706" spans="3:9" ht="16.5" hidden="1" customHeight="1" x14ac:dyDescent="0.25">
      <c r="C5706" s="226"/>
      <c r="D5706" s="119" t="s">
        <v>3972</v>
      </c>
      <c r="E5706" s="169">
        <v>231245000</v>
      </c>
      <c r="F5706" s="243">
        <v>222115260</v>
      </c>
      <c r="G5706" s="379">
        <f t="shared" si="348"/>
        <v>96.051918960409949</v>
      </c>
      <c r="H5706" s="235">
        <v>100</v>
      </c>
      <c r="I5706" s="111"/>
    </row>
    <row r="5707" spans="3:9" ht="19.5" hidden="1" customHeight="1" x14ac:dyDescent="0.25">
      <c r="C5707" s="226"/>
      <c r="D5707" s="119" t="s">
        <v>3973</v>
      </c>
      <c r="E5707" s="169">
        <v>1222000000</v>
      </c>
      <c r="F5707" s="243">
        <v>1215097800</v>
      </c>
      <c r="G5707" s="379">
        <f t="shared" si="348"/>
        <v>99.435171849427178</v>
      </c>
      <c r="H5707" s="235">
        <v>100</v>
      </c>
      <c r="I5707" s="111"/>
    </row>
    <row r="5708" spans="3:9" ht="16.5" hidden="1" customHeight="1" x14ac:dyDescent="0.25">
      <c r="C5708" s="226"/>
      <c r="D5708" s="119" t="s">
        <v>3974</v>
      </c>
      <c r="E5708" s="169">
        <v>461555000</v>
      </c>
      <c r="F5708" s="243">
        <v>461554700</v>
      </c>
      <c r="G5708" s="379">
        <f t="shared" si="348"/>
        <v>99.999935002329082</v>
      </c>
      <c r="H5708" s="235">
        <v>100</v>
      </c>
      <c r="I5708" s="111"/>
    </row>
    <row r="5709" spans="3:9" ht="16.5" hidden="1" customHeight="1" x14ac:dyDescent="0.25">
      <c r="C5709" s="226"/>
      <c r="D5709" s="119" t="s">
        <v>3975</v>
      </c>
      <c r="E5709" s="169">
        <v>304999000</v>
      </c>
      <c r="F5709" s="243">
        <v>301783000</v>
      </c>
      <c r="G5709" s="379">
        <f t="shared" si="348"/>
        <v>98.945570313345286</v>
      </c>
      <c r="H5709" s="235">
        <v>100</v>
      </c>
      <c r="I5709" s="111"/>
    </row>
    <row r="5710" spans="3:9" ht="16.5" hidden="1" customHeight="1" x14ac:dyDescent="0.25">
      <c r="C5710" s="226"/>
      <c r="D5710" s="119" t="s">
        <v>3976</v>
      </c>
      <c r="E5710" s="169">
        <v>196257000</v>
      </c>
      <c r="F5710" s="243">
        <v>196257000</v>
      </c>
      <c r="G5710" s="379">
        <f t="shared" si="348"/>
        <v>100</v>
      </c>
      <c r="H5710" s="235">
        <v>100</v>
      </c>
      <c r="I5710" s="111"/>
    </row>
    <row r="5711" spans="3:9" ht="9" hidden="1" customHeight="1" x14ac:dyDescent="0.25">
      <c r="C5711" s="226"/>
      <c r="D5711" s="217"/>
      <c r="E5711" s="168"/>
      <c r="F5711" s="108"/>
      <c r="G5711" s="117"/>
      <c r="H5711" s="114"/>
      <c r="I5711" s="111"/>
    </row>
    <row r="5712" spans="3:9" s="115" customFormat="1" ht="16.5" hidden="1" customHeight="1" x14ac:dyDescent="0.25">
      <c r="C5712" s="222"/>
      <c r="D5712" s="217" t="s">
        <v>630</v>
      </c>
      <c r="E5712" s="168">
        <f>E5713</f>
        <v>1911101020</v>
      </c>
      <c r="F5712" s="242">
        <f>F5713</f>
        <v>1766123769</v>
      </c>
      <c r="G5712" s="333">
        <f>(F5712/E5712)*100</f>
        <v>92.413940996169842</v>
      </c>
      <c r="H5712" s="110">
        <f>H5713</f>
        <v>100</v>
      </c>
      <c r="I5712" s="121"/>
    </row>
    <row r="5713" spans="3:9" s="115" customFormat="1" ht="16.5" hidden="1" customHeight="1" x14ac:dyDescent="0.25">
      <c r="C5713" s="222"/>
      <c r="D5713" s="217" t="s">
        <v>792</v>
      </c>
      <c r="E5713" s="168">
        <f>SUM(E5714:E5716)</f>
        <v>1911101020</v>
      </c>
      <c r="F5713" s="242">
        <f>SUM(F5714:F5716)</f>
        <v>1766123769</v>
      </c>
      <c r="G5713" s="333">
        <f>(F5713/E5713)*100</f>
        <v>92.413940996169842</v>
      </c>
      <c r="H5713" s="110">
        <f>SUM(H5714:H5716)/3</f>
        <v>100</v>
      </c>
      <c r="I5713" s="121"/>
    </row>
    <row r="5714" spans="3:9" ht="16.5" hidden="1" customHeight="1" x14ac:dyDescent="0.25">
      <c r="C5714" s="226"/>
      <c r="D5714" s="119" t="s">
        <v>3977</v>
      </c>
      <c r="E5714" s="169">
        <v>500000000</v>
      </c>
      <c r="F5714" s="243">
        <v>418158600</v>
      </c>
      <c r="G5714" s="379">
        <f>(F5714/E5714)*100</f>
        <v>83.631720000000001</v>
      </c>
      <c r="H5714" s="235">
        <v>100</v>
      </c>
      <c r="I5714" s="111"/>
    </row>
    <row r="5715" spans="3:9" ht="16.5" hidden="1" customHeight="1" x14ac:dyDescent="0.25">
      <c r="C5715" s="226"/>
      <c r="D5715" s="119" t="s">
        <v>3978</v>
      </c>
      <c r="E5715" s="169">
        <v>1061101020</v>
      </c>
      <c r="F5715" s="243">
        <v>1009941969</v>
      </c>
      <c r="G5715" s="379">
        <f>(F5715/E5715)*100</f>
        <v>95.178682327531831</v>
      </c>
      <c r="H5715" s="235">
        <v>100</v>
      </c>
      <c r="I5715" s="111"/>
    </row>
    <row r="5716" spans="3:9" ht="16.5" hidden="1" customHeight="1" x14ac:dyDescent="0.25">
      <c r="C5716" s="226"/>
      <c r="D5716" s="119" t="s">
        <v>3979</v>
      </c>
      <c r="E5716" s="169">
        <v>350000000</v>
      </c>
      <c r="F5716" s="243">
        <v>338023200</v>
      </c>
      <c r="G5716" s="379">
        <f>(F5716/E5716)*100</f>
        <v>96.578057142857148</v>
      </c>
      <c r="H5716" s="235">
        <v>100</v>
      </c>
      <c r="I5716" s="111"/>
    </row>
    <row r="5717" spans="3:9" ht="9" hidden="1" customHeight="1" x14ac:dyDescent="0.25">
      <c r="C5717" s="226"/>
      <c r="D5717" s="355"/>
      <c r="E5717" s="169"/>
      <c r="F5717" s="108"/>
      <c r="G5717" s="117"/>
      <c r="H5717" s="114"/>
      <c r="I5717" s="111"/>
    </row>
    <row r="5718" spans="3:9" s="115" customFormat="1" ht="16.5" hidden="1" customHeight="1" x14ac:dyDescent="0.25">
      <c r="C5718" s="222"/>
      <c r="D5718" s="217" t="s">
        <v>1627</v>
      </c>
      <c r="E5718" s="168">
        <f>SUM(E5719:E5722)</f>
        <v>13616089075</v>
      </c>
      <c r="F5718" s="242">
        <f>SUM(F5719:F5722)</f>
        <v>13150565000</v>
      </c>
      <c r="G5718" s="333">
        <f>(F5718/E5718)*100</f>
        <v>96.581073519453312</v>
      </c>
      <c r="H5718" s="110">
        <f>SUM(H5719:H5722)/4</f>
        <v>100</v>
      </c>
      <c r="I5718" s="121"/>
    </row>
    <row r="5719" spans="3:9" ht="16.5" hidden="1" customHeight="1" x14ac:dyDescent="0.25">
      <c r="C5719" s="226"/>
      <c r="D5719" s="119" t="s">
        <v>3980</v>
      </c>
      <c r="E5719" s="169">
        <v>400000000</v>
      </c>
      <c r="F5719" s="243">
        <v>400000000</v>
      </c>
      <c r="G5719" s="379">
        <f>(F5719/E5719)*100</f>
        <v>100</v>
      </c>
      <c r="H5719" s="235">
        <v>100</v>
      </c>
      <c r="I5719" s="111"/>
    </row>
    <row r="5720" spans="3:9" ht="16.5" hidden="1" customHeight="1" x14ac:dyDescent="0.25">
      <c r="C5720" s="226"/>
      <c r="D5720" s="119" t="s">
        <v>3981</v>
      </c>
      <c r="E5720" s="169">
        <v>10984614075</v>
      </c>
      <c r="F5720" s="243">
        <v>10519090000</v>
      </c>
      <c r="G5720" s="379">
        <f>(F5720/E5720)*100</f>
        <v>95.762035226531168</v>
      </c>
      <c r="H5720" s="235">
        <v>100</v>
      </c>
      <c r="I5720" s="111"/>
    </row>
    <row r="5721" spans="3:9" ht="16.5" hidden="1" customHeight="1" x14ac:dyDescent="0.25">
      <c r="C5721" s="226"/>
      <c r="D5721" s="119" t="s">
        <v>3982</v>
      </c>
      <c r="E5721" s="169">
        <v>1343475000</v>
      </c>
      <c r="F5721" s="243">
        <v>1343475000</v>
      </c>
      <c r="G5721" s="379">
        <f>(F5721/E5721)*100</f>
        <v>100</v>
      </c>
      <c r="H5721" s="235">
        <v>100</v>
      </c>
      <c r="I5721" s="111"/>
    </row>
    <row r="5722" spans="3:9" ht="16.5" hidden="1" customHeight="1" x14ac:dyDescent="0.25">
      <c r="C5722" s="226"/>
      <c r="D5722" s="119" t="s">
        <v>3983</v>
      </c>
      <c r="E5722" s="169">
        <v>888000000</v>
      </c>
      <c r="F5722" s="243">
        <v>888000000</v>
      </c>
      <c r="G5722" s="379">
        <f>(F5722/E5722)*100</f>
        <v>100</v>
      </c>
      <c r="H5722" s="235">
        <v>100</v>
      </c>
      <c r="I5722" s="111"/>
    </row>
    <row r="5723" spans="3:9" ht="10.5" hidden="1" customHeight="1" x14ac:dyDescent="0.25">
      <c r="C5723" s="109"/>
      <c r="D5723" s="111"/>
      <c r="E5723" s="107"/>
      <c r="F5723" s="108"/>
      <c r="G5723" s="117"/>
      <c r="H5723" s="117"/>
      <c r="I5723" s="111"/>
    </row>
    <row r="5724" spans="3:9" s="115" customFormat="1" ht="16.5" customHeight="1" x14ac:dyDescent="0.25">
      <c r="C5724" s="159" t="s">
        <v>3984</v>
      </c>
      <c r="D5724" s="48" t="s">
        <v>63</v>
      </c>
      <c r="E5724" s="125">
        <v>522710000000</v>
      </c>
      <c r="F5724" s="113">
        <f>100/100*E5724</f>
        <v>522710000000</v>
      </c>
      <c r="G5724" s="114">
        <f t="shared" ref="G5724:G5729" si="349">+F5724/E5724*100</f>
        <v>100</v>
      </c>
      <c r="H5724" s="114">
        <f>+G5724</f>
        <v>100</v>
      </c>
      <c r="I5724" s="121"/>
    </row>
    <row r="5725" spans="3:9" s="115" customFormat="1" ht="16.5" customHeight="1" x14ac:dyDescent="0.25">
      <c r="C5725" s="159" t="s">
        <v>3985</v>
      </c>
      <c r="D5725" s="48" t="s">
        <v>64</v>
      </c>
      <c r="E5725" s="125">
        <v>270000000000</v>
      </c>
      <c r="F5725" s="113">
        <f t="shared" ref="F5725:F5729" si="350">100/100*E5725</f>
        <v>270000000000</v>
      </c>
      <c r="G5725" s="114">
        <f t="shared" si="349"/>
        <v>100</v>
      </c>
      <c r="H5725" s="114">
        <f t="shared" ref="H5725:H5729" si="351">+G5725</f>
        <v>100</v>
      </c>
      <c r="I5725" s="121"/>
    </row>
    <row r="5726" spans="3:9" s="115" customFormat="1" ht="16.5" customHeight="1" x14ac:dyDescent="0.25">
      <c r="C5726" s="159" t="s">
        <v>3986</v>
      </c>
      <c r="D5726" s="48" t="s">
        <v>65</v>
      </c>
      <c r="E5726" s="125">
        <v>200000000000</v>
      </c>
      <c r="F5726" s="113">
        <f t="shared" si="350"/>
        <v>200000000000</v>
      </c>
      <c r="G5726" s="114">
        <f t="shared" si="349"/>
        <v>100</v>
      </c>
      <c r="H5726" s="114">
        <f t="shared" si="351"/>
        <v>100</v>
      </c>
      <c r="I5726" s="121"/>
    </row>
    <row r="5727" spans="3:9" s="115" customFormat="1" ht="16.5" customHeight="1" x14ac:dyDescent="0.25">
      <c r="C5727" s="159" t="s">
        <v>3987</v>
      </c>
      <c r="D5727" s="48" t="s">
        <v>66</v>
      </c>
      <c r="E5727" s="125">
        <v>80000000000</v>
      </c>
      <c r="F5727" s="113">
        <f t="shared" si="350"/>
        <v>80000000000</v>
      </c>
      <c r="G5727" s="114">
        <f t="shared" si="349"/>
        <v>100</v>
      </c>
      <c r="H5727" s="114">
        <f t="shared" si="351"/>
        <v>100</v>
      </c>
      <c r="I5727" s="121"/>
    </row>
    <row r="5728" spans="3:9" s="115" customFormat="1" ht="16.5" customHeight="1" x14ac:dyDescent="0.25">
      <c r="C5728" s="159" t="s">
        <v>3988</v>
      </c>
      <c r="D5728" s="48" t="s">
        <v>67</v>
      </c>
      <c r="E5728" s="125">
        <v>536670530000</v>
      </c>
      <c r="F5728" s="113">
        <f t="shared" si="350"/>
        <v>536670530000</v>
      </c>
      <c r="G5728" s="114">
        <f t="shared" si="349"/>
        <v>100</v>
      </c>
      <c r="H5728" s="114">
        <f t="shared" si="351"/>
        <v>100</v>
      </c>
      <c r="I5728" s="121"/>
    </row>
    <row r="5729" spans="3:10" s="115" customFormat="1" ht="16.5" customHeight="1" x14ac:dyDescent="0.25">
      <c r="C5729" s="159" t="s">
        <v>3989</v>
      </c>
      <c r="D5729" s="48" t="s">
        <v>68</v>
      </c>
      <c r="E5729" s="125">
        <v>150000000000</v>
      </c>
      <c r="F5729" s="113">
        <f t="shared" si="350"/>
        <v>150000000000</v>
      </c>
      <c r="G5729" s="114">
        <f t="shared" si="349"/>
        <v>100</v>
      </c>
      <c r="H5729" s="114">
        <f t="shared" si="351"/>
        <v>100</v>
      </c>
      <c r="I5729" s="121"/>
    </row>
    <row r="5730" spans="3:10" ht="7.5" customHeight="1" x14ac:dyDescent="0.25">
      <c r="C5730" s="554"/>
      <c r="D5730" s="126"/>
      <c r="E5730" s="127"/>
      <c r="F5730" s="128"/>
      <c r="G5730" s="129"/>
      <c r="H5730" s="129"/>
      <c r="I5730" s="126"/>
    </row>
    <row r="5731" spans="3:10" s="115" customFormat="1" ht="16.5" customHeight="1" x14ac:dyDescent="0.25">
      <c r="C5731" s="130"/>
      <c r="D5731" s="131" t="s">
        <v>69</v>
      </c>
      <c r="E5731" s="132">
        <f>+E5729+E5728+E5727+E5726+E5725+E5724+E686+E15</f>
        <v>5620854115000</v>
      </c>
      <c r="F5731" s="133">
        <f>+F5729+F5728+F5727+F5726+F5725+F5724+F686+F15</f>
        <v>5152033634247.1797</v>
      </c>
      <c r="G5731" s="134">
        <f>F5731/E5731*100</f>
        <v>91.659266169144828</v>
      </c>
      <c r="H5731" s="134">
        <f>(H5729+H5728+H5727+H5726+H5725+H5724+H686+H15)/8</f>
        <v>97.519499312872313</v>
      </c>
      <c r="I5731" s="135"/>
      <c r="J5731" s="136"/>
    </row>
    <row r="5732" spans="3:10" ht="16.5" customHeight="1" x14ac:dyDescent="0.25"/>
    <row r="5733" spans="3:10" ht="16.5" customHeight="1" x14ac:dyDescent="0.25"/>
    <row r="5734" spans="3:10" ht="16.5" customHeight="1" x14ac:dyDescent="0.25"/>
    <row r="5735" spans="3:10" ht="16.5" customHeight="1" x14ac:dyDescent="0.25"/>
    <row r="5736" spans="3:10" ht="16.5" customHeight="1" x14ac:dyDescent="0.25">
      <c r="D5736" s="570"/>
    </row>
    <row r="5737" spans="3:10" ht="16.5" customHeight="1" x14ac:dyDescent="0.25">
      <c r="D5737" s="140"/>
    </row>
    <row r="5738" spans="3:10" ht="16.5" customHeight="1" x14ac:dyDescent="0.25">
      <c r="D5738" s="571"/>
    </row>
    <row r="5739" spans="3:10" ht="16.5" customHeight="1" x14ac:dyDescent="0.25">
      <c r="D5739" s="141"/>
    </row>
    <row r="5740" spans="3:10" ht="16.5" customHeight="1" x14ac:dyDescent="0.25">
      <c r="D5740" s="140"/>
    </row>
    <row r="5742" spans="3:10" x14ac:dyDescent="0.25">
      <c r="D5742" s="141"/>
    </row>
  </sheetData>
  <mergeCells count="8">
    <mergeCell ref="I10:I11"/>
    <mergeCell ref="C2:H2"/>
    <mergeCell ref="C3:H3"/>
    <mergeCell ref="C4:H4"/>
    <mergeCell ref="C5:H5"/>
    <mergeCell ref="C10:C11"/>
    <mergeCell ref="D10:D11"/>
    <mergeCell ref="E10:H10"/>
  </mergeCells>
  <printOptions horizontalCentered="1"/>
  <pageMargins left="0.59055118110236227" right="0" top="0.35433070866141736" bottom="0.35433070866141736" header="0.31496062992125984" footer="0.31496062992125984"/>
  <pageSetup paperSize="258" scale="91" orientation="landscape" r:id="rId1"/>
  <rowBreaks count="56" manualBreakCount="56">
    <brk id="276" max="16383" man="1"/>
    <brk id="310" max="16383" man="1"/>
    <brk id="344" max="16383" man="1"/>
    <brk id="620" max="16383" man="1"/>
    <brk id="654" max="16383" man="1"/>
    <brk id="685" max="16383" man="1"/>
    <brk id="1415" max="16383" man="1"/>
    <brk id="1448" max="16383" man="1"/>
    <brk id="1481" max="16383" man="1"/>
    <brk id="1547" max="16383" man="1"/>
    <brk id="1616" max="16383" man="1"/>
    <brk id="1688" max="16383" man="1"/>
    <brk id="1723" max="16383" man="1"/>
    <brk id="1829" max="16383" man="1"/>
    <brk id="1992" max="16383" man="1"/>
    <brk id="2026" max="16383" man="1"/>
    <brk id="2127" max="16383" man="1"/>
    <brk id="2197" max="16383" man="1"/>
    <brk id="2415" max="16383" man="1"/>
    <brk id="2553" max="16383" man="1"/>
    <brk id="2793" max="16383" man="1"/>
    <brk id="2862" max="16383" man="1"/>
    <brk id="2893" max="16383" man="1"/>
    <brk id="2928" max="16383" man="1"/>
    <brk id="2961" max="16383" man="1"/>
    <brk id="3092" max="16383" man="1"/>
    <brk id="3433" max="16383" man="1"/>
    <brk id="3467" max="16383" man="1"/>
    <brk id="3501" max="16383" man="1"/>
    <brk id="3709" max="16383" man="1"/>
    <brk id="3840" max="16383" man="1"/>
    <brk id="3948" max="16383" man="1"/>
    <brk id="4016" max="16383" man="1"/>
    <brk id="4049" max="16383" man="1"/>
    <brk id="4187" max="16383" man="1"/>
    <brk id="4222" max="16383" man="1"/>
    <brk id="4256" max="16383" man="1"/>
    <brk id="4289" max="16383" man="1"/>
    <brk id="4361" max="16383" man="1"/>
    <brk id="4394" max="16383" man="1"/>
    <brk id="4427" max="16383" man="1"/>
    <brk id="4459" max="16383" man="1"/>
    <brk id="4493" max="16383" man="1"/>
    <brk id="4524" max="16383" man="1"/>
    <brk id="4559" max="16383" man="1"/>
    <brk id="4742" max="16383" man="1"/>
    <brk id="4778" max="16383" man="1"/>
    <brk id="4884" max="16383" man="1"/>
    <brk id="4955" max="16383" man="1"/>
    <brk id="5191" max="16383" man="1"/>
    <brk id="5226" max="16383" man="1"/>
    <brk id="5261" max="16383" man="1"/>
    <brk id="5297" max="16383" man="1"/>
    <brk id="5427" max="16383" man="1"/>
    <brk id="5566" max="16383" man="1"/>
    <brk id="5633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724"/>
  <sheetViews>
    <sheetView view="pageBreakPreview" topLeftCell="C37" zoomScale="85" zoomScaleNormal="90" zoomScaleSheetLayoutView="85" workbookViewId="0">
      <selection activeCell="N16" sqref="N16"/>
    </sheetView>
  </sheetViews>
  <sheetFormatPr defaultColWidth="8.85546875" defaultRowHeight="15" x14ac:dyDescent="0.25"/>
  <cols>
    <col min="1" max="1" width="3.28515625" style="901" hidden="1" customWidth="1"/>
    <col min="2" max="2" width="2.85546875" style="901" hidden="1" customWidth="1"/>
    <col min="3" max="3" width="6.5703125" style="913" customWidth="1"/>
    <col min="4" max="4" width="71.28515625" style="970" customWidth="1"/>
    <col min="5" max="5" width="17.42578125" style="957" customWidth="1"/>
    <col min="6" max="6" width="25.28515625" style="956" hidden="1" customWidth="1"/>
    <col min="7" max="7" width="12.42578125" style="952" customWidth="1"/>
    <col min="8" max="10" width="11" style="953" customWidth="1"/>
    <col min="11" max="11" width="8.85546875" style="953" customWidth="1"/>
    <col min="12" max="13" width="10.85546875" style="953" customWidth="1"/>
    <col min="14" max="14" width="12.85546875" style="953" customWidth="1"/>
    <col min="15" max="15" width="8.5703125" style="953" customWidth="1"/>
    <col min="16" max="18" width="14.42578125" style="901" customWidth="1"/>
    <col min="19" max="256" width="8.85546875" style="901"/>
    <col min="257" max="257" width="3.28515625" style="901" customWidth="1"/>
    <col min="258" max="258" width="2.85546875" style="901" customWidth="1"/>
    <col min="259" max="259" width="6.5703125" style="901" customWidth="1"/>
    <col min="260" max="260" width="137.28515625" style="901" customWidth="1"/>
    <col min="261" max="261" width="21.28515625" style="901" customWidth="1"/>
    <col min="262" max="262" width="25.28515625" style="901" customWidth="1"/>
    <col min="263" max="263" width="11.7109375" style="901" customWidth="1"/>
    <col min="264" max="267" width="11" style="901" customWidth="1"/>
    <col min="268" max="271" width="12.85546875" style="901" customWidth="1"/>
    <col min="272" max="272" width="17.85546875" style="901" customWidth="1"/>
    <col min="273" max="273" width="2.140625" style="901" customWidth="1"/>
    <col min="274" max="512" width="8.85546875" style="901"/>
    <col min="513" max="513" width="3.28515625" style="901" customWidth="1"/>
    <col min="514" max="514" width="2.85546875" style="901" customWidth="1"/>
    <col min="515" max="515" width="6.5703125" style="901" customWidth="1"/>
    <col min="516" max="516" width="137.28515625" style="901" customWidth="1"/>
    <col min="517" max="517" width="21.28515625" style="901" customWidth="1"/>
    <col min="518" max="518" width="25.28515625" style="901" customWidth="1"/>
    <col min="519" max="519" width="11.7109375" style="901" customWidth="1"/>
    <col min="520" max="523" width="11" style="901" customWidth="1"/>
    <col min="524" max="527" width="12.85546875" style="901" customWidth="1"/>
    <col min="528" max="528" width="17.85546875" style="901" customWidth="1"/>
    <col min="529" max="529" width="2.140625" style="901" customWidth="1"/>
    <col min="530" max="768" width="8.85546875" style="901"/>
    <col min="769" max="769" width="3.28515625" style="901" customWidth="1"/>
    <col min="770" max="770" width="2.85546875" style="901" customWidth="1"/>
    <col min="771" max="771" width="6.5703125" style="901" customWidth="1"/>
    <col min="772" max="772" width="137.28515625" style="901" customWidth="1"/>
    <col min="773" max="773" width="21.28515625" style="901" customWidth="1"/>
    <col min="774" max="774" width="25.28515625" style="901" customWidth="1"/>
    <col min="775" max="775" width="11.7109375" style="901" customWidth="1"/>
    <col min="776" max="779" width="11" style="901" customWidth="1"/>
    <col min="780" max="783" width="12.85546875" style="901" customWidth="1"/>
    <col min="784" max="784" width="17.85546875" style="901" customWidth="1"/>
    <col min="785" max="785" width="2.140625" style="901" customWidth="1"/>
    <col min="786" max="1024" width="8.85546875" style="901"/>
    <col min="1025" max="1025" width="3.28515625" style="901" customWidth="1"/>
    <col min="1026" max="1026" width="2.85546875" style="901" customWidth="1"/>
    <col min="1027" max="1027" width="6.5703125" style="901" customWidth="1"/>
    <col min="1028" max="1028" width="137.28515625" style="901" customWidth="1"/>
    <col min="1029" max="1029" width="21.28515625" style="901" customWidth="1"/>
    <col min="1030" max="1030" width="25.28515625" style="901" customWidth="1"/>
    <col min="1031" max="1031" width="11.7109375" style="901" customWidth="1"/>
    <col min="1032" max="1035" width="11" style="901" customWidth="1"/>
    <col min="1036" max="1039" width="12.85546875" style="901" customWidth="1"/>
    <col min="1040" max="1040" width="17.85546875" style="901" customWidth="1"/>
    <col min="1041" max="1041" width="2.140625" style="901" customWidth="1"/>
    <col min="1042" max="1280" width="8.85546875" style="901"/>
    <col min="1281" max="1281" width="3.28515625" style="901" customWidth="1"/>
    <col min="1282" max="1282" width="2.85546875" style="901" customWidth="1"/>
    <col min="1283" max="1283" width="6.5703125" style="901" customWidth="1"/>
    <col min="1284" max="1284" width="137.28515625" style="901" customWidth="1"/>
    <col min="1285" max="1285" width="21.28515625" style="901" customWidth="1"/>
    <col min="1286" max="1286" width="25.28515625" style="901" customWidth="1"/>
    <col min="1287" max="1287" width="11.7109375" style="901" customWidth="1"/>
    <col min="1288" max="1291" width="11" style="901" customWidth="1"/>
    <col min="1292" max="1295" width="12.85546875" style="901" customWidth="1"/>
    <col min="1296" max="1296" width="17.85546875" style="901" customWidth="1"/>
    <col min="1297" max="1297" width="2.140625" style="901" customWidth="1"/>
    <col min="1298" max="1536" width="8.85546875" style="901"/>
    <col min="1537" max="1537" width="3.28515625" style="901" customWidth="1"/>
    <col min="1538" max="1538" width="2.85546875" style="901" customWidth="1"/>
    <col min="1539" max="1539" width="6.5703125" style="901" customWidth="1"/>
    <col min="1540" max="1540" width="137.28515625" style="901" customWidth="1"/>
    <col min="1541" max="1541" width="21.28515625" style="901" customWidth="1"/>
    <col min="1542" max="1542" width="25.28515625" style="901" customWidth="1"/>
    <col min="1543" max="1543" width="11.7109375" style="901" customWidth="1"/>
    <col min="1544" max="1547" width="11" style="901" customWidth="1"/>
    <col min="1548" max="1551" width="12.85546875" style="901" customWidth="1"/>
    <col min="1552" max="1552" width="17.85546875" style="901" customWidth="1"/>
    <col min="1553" max="1553" width="2.140625" style="901" customWidth="1"/>
    <col min="1554" max="1792" width="8.85546875" style="901"/>
    <col min="1793" max="1793" width="3.28515625" style="901" customWidth="1"/>
    <col min="1794" max="1794" width="2.85546875" style="901" customWidth="1"/>
    <col min="1795" max="1795" width="6.5703125" style="901" customWidth="1"/>
    <col min="1796" max="1796" width="137.28515625" style="901" customWidth="1"/>
    <col min="1797" max="1797" width="21.28515625" style="901" customWidth="1"/>
    <col min="1798" max="1798" width="25.28515625" style="901" customWidth="1"/>
    <col min="1799" max="1799" width="11.7109375" style="901" customWidth="1"/>
    <col min="1800" max="1803" width="11" style="901" customWidth="1"/>
    <col min="1804" max="1807" width="12.85546875" style="901" customWidth="1"/>
    <col min="1808" max="1808" width="17.85546875" style="901" customWidth="1"/>
    <col min="1809" max="1809" width="2.140625" style="901" customWidth="1"/>
    <col min="1810" max="2048" width="8.85546875" style="901"/>
    <col min="2049" max="2049" width="3.28515625" style="901" customWidth="1"/>
    <col min="2050" max="2050" width="2.85546875" style="901" customWidth="1"/>
    <col min="2051" max="2051" width="6.5703125" style="901" customWidth="1"/>
    <col min="2052" max="2052" width="137.28515625" style="901" customWidth="1"/>
    <col min="2053" max="2053" width="21.28515625" style="901" customWidth="1"/>
    <col min="2054" max="2054" width="25.28515625" style="901" customWidth="1"/>
    <col min="2055" max="2055" width="11.7109375" style="901" customWidth="1"/>
    <col min="2056" max="2059" width="11" style="901" customWidth="1"/>
    <col min="2060" max="2063" width="12.85546875" style="901" customWidth="1"/>
    <col min="2064" max="2064" width="17.85546875" style="901" customWidth="1"/>
    <col min="2065" max="2065" width="2.140625" style="901" customWidth="1"/>
    <col min="2066" max="2304" width="8.85546875" style="901"/>
    <col min="2305" max="2305" width="3.28515625" style="901" customWidth="1"/>
    <col min="2306" max="2306" width="2.85546875" style="901" customWidth="1"/>
    <col min="2307" max="2307" width="6.5703125" style="901" customWidth="1"/>
    <col min="2308" max="2308" width="137.28515625" style="901" customWidth="1"/>
    <col min="2309" max="2309" width="21.28515625" style="901" customWidth="1"/>
    <col min="2310" max="2310" width="25.28515625" style="901" customWidth="1"/>
    <col min="2311" max="2311" width="11.7109375" style="901" customWidth="1"/>
    <col min="2312" max="2315" width="11" style="901" customWidth="1"/>
    <col min="2316" max="2319" width="12.85546875" style="901" customWidth="1"/>
    <col min="2320" max="2320" width="17.85546875" style="901" customWidth="1"/>
    <col min="2321" max="2321" width="2.140625" style="901" customWidth="1"/>
    <col min="2322" max="2560" width="8.85546875" style="901"/>
    <col min="2561" max="2561" width="3.28515625" style="901" customWidth="1"/>
    <col min="2562" max="2562" width="2.85546875" style="901" customWidth="1"/>
    <col min="2563" max="2563" width="6.5703125" style="901" customWidth="1"/>
    <col min="2564" max="2564" width="137.28515625" style="901" customWidth="1"/>
    <col min="2565" max="2565" width="21.28515625" style="901" customWidth="1"/>
    <col min="2566" max="2566" width="25.28515625" style="901" customWidth="1"/>
    <col min="2567" max="2567" width="11.7109375" style="901" customWidth="1"/>
    <col min="2568" max="2571" width="11" style="901" customWidth="1"/>
    <col min="2572" max="2575" width="12.85546875" style="901" customWidth="1"/>
    <col min="2576" max="2576" width="17.85546875" style="901" customWidth="1"/>
    <col min="2577" max="2577" width="2.140625" style="901" customWidth="1"/>
    <col min="2578" max="2816" width="8.85546875" style="901"/>
    <col min="2817" max="2817" width="3.28515625" style="901" customWidth="1"/>
    <col min="2818" max="2818" width="2.85546875" style="901" customWidth="1"/>
    <col min="2819" max="2819" width="6.5703125" style="901" customWidth="1"/>
    <col min="2820" max="2820" width="137.28515625" style="901" customWidth="1"/>
    <col min="2821" max="2821" width="21.28515625" style="901" customWidth="1"/>
    <col min="2822" max="2822" width="25.28515625" style="901" customWidth="1"/>
    <col min="2823" max="2823" width="11.7109375" style="901" customWidth="1"/>
    <col min="2824" max="2827" width="11" style="901" customWidth="1"/>
    <col min="2828" max="2831" width="12.85546875" style="901" customWidth="1"/>
    <col min="2832" max="2832" width="17.85546875" style="901" customWidth="1"/>
    <col min="2833" max="2833" width="2.140625" style="901" customWidth="1"/>
    <col min="2834" max="3072" width="8.85546875" style="901"/>
    <col min="3073" max="3073" width="3.28515625" style="901" customWidth="1"/>
    <col min="3074" max="3074" width="2.85546875" style="901" customWidth="1"/>
    <col min="3075" max="3075" width="6.5703125" style="901" customWidth="1"/>
    <col min="3076" max="3076" width="137.28515625" style="901" customWidth="1"/>
    <col min="3077" max="3077" width="21.28515625" style="901" customWidth="1"/>
    <col min="3078" max="3078" width="25.28515625" style="901" customWidth="1"/>
    <col min="3079" max="3079" width="11.7109375" style="901" customWidth="1"/>
    <col min="3080" max="3083" width="11" style="901" customWidth="1"/>
    <col min="3084" max="3087" width="12.85546875" style="901" customWidth="1"/>
    <col min="3088" max="3088" width="17.85546875" style="901" customWidth="1"/>
    <col min="3089" max="3089" width="2.140625" style="901" customWidth="1"/>
    <col min="3090" max="3328" width="8.85546875" style="901"/>
    <col min="3329" max="3329" width="3.28515625" style="901" customWidth="1"/>
    <col min="3330" max="3330" width="2.85546875" style="901" customWidth="1"/>
    <col min="3331" max="3331" width="6.5703125" style="901" customWidth="1"/>
    <col min="3332" max="3332" width="137.28515625" style="901" customWidth="1"/>
    <col min="3333" max="3333" width="21.28515625" style="901" customWidth="1"/>
    <col min="3334" max="3334" width="25.28515625" style="901" customWidth="1"/>
    <col min="3335" max="3335" width="11.7109375" style="901" customWidth="1"/>
    <col min="3336" max="3339" width="11" style="901" customWidth="1"/>
    <col min="3340" max="3343" width="12.85546875" style="901" customWidth="1"/>
    <col min="3344" max="3344" width="17.85546875" style="901" customWidth="1"/>
    <col min="3345" max="3345" width="2.140625" style="901" customWidth="1"/>
    <col min="3346" max="3584" width="8.85546875" style="901"/>
    <col min="3585" max="3585" width="3.28515625" style="901" customWidth="1"/>
    <col min="3586" max="3586" width="2.85546875" style="901" customWidth="1"/>
    <col min="3587" max="3587" width="6.5703125" style="901" customWidth="1"/>
    <col min="3588" max="3588" width="137.28515625" style="901" customWidth="1"/>
    <col min="3589" max="3589" width="21.28515625" style="901" customWidth="1"/>
    <col min="3590" max="3590" width="25.28515625" style="901" customWidth="1"/>
    <col min="3591" max="3591" width="11.7109375" style="901" customWidth="1"/>
    <col min="3592" max="3595" width="11" style="901" customWidth="1"/>
    <col min="3596" max="3599" width="12.85546875" style="901" customWidth="1"/>
    <col min="3600" max="3600" width="17.85546875" style="901" customWidth="1"/>
    <col min="3601" max="3601" width="2.140625" style="901" customWidth="1"/>
    <col min="3602" max="3840" width="8.85546875" style="901"/>
    <col min="3841" max="3841" width="3.28515625" style="901" customWidth="1"/>
    <col min="3842" max="3842" width="2.85546875" style="901" customWidth="1"/>
    <col min="3843" max="3843" width="6.5703125" style="901" customWidth="1"/>
    <col min="3844" max="3844" width="137.28515625" style="901" customWidth="1"/>
    <col min="3845" max="3845" width="21.28515625" style="901" customWidth="1"/>
    <col min="3846" max="3846" width="25.28515625" style="901" customWidth="1"/>
    <col min="3847" max="3847" width="11.7109375" style="901" customWidth="1"/>
    <col min="3848" max="3851" width="11" style="901" customWidth="1"/>
    <col min="3852" max="3855" width="12.85546875" style="901" customWidth="1"/>
    <col min="3856" max="3856" width="17.85546875" style="901" customWidth="1"/>
    <col min="3857" max="3857" width="2.140625" style="901" customWidth="1"/>
    <col min="3858" max="4096" width="8.85546875" style="901"/>
    <col min="4097" max="4097" width="3.28515625" style="901" customWidth="1"/>
    <col min="4098" max="4098" width="2.85546875" style="901" customWidth="1"/>
    <col min="4099" max="4099" width="6.5703125" style="901" customWidth="1"/>
    <col min="4100" max="4100" width="137.28515625" style="901" customWidth="1"/>
    <col min="4101" max="4101" width="21.28515625" style="901" customWidth="1"/>
    <col min="4102" max="4102" width="25.28515625" style="901" customWidth="1"/>
    <col min="4103" max="4103" width="11.7109375" style="901" customWidth="1"/>
    <col min="4104" max="4107" width="11" style="901" customWidth="1"/>
    <col min="4108" max="4111" width="12.85546875" style="901" customWidth="1"/>
    <col min="4112" max="4112" width="17.85546875" style="901" customWidth="1"/>
    <col min="4113" max="4113" width="2.140625" style="901" customWidth="1"/>
    <col min="4114" max="4352" width="8.85546875" style="901"/>
    <col min="4353" max="4353" width="3.28515625" style="901" customWidth="1"/>
    <col min="4354" max="4354" width="2.85546875" style="901" customWidth="1"/>
    <col min="4355" max="4355" width="6.5703125" style="901" customWidth="1"/>
    <col min="4356" max="4356" width="137.28515625" style="901" customWidth="1"/>
    <col min="4357" max="4357" width="21.28515625" style="901" customWidth="1"/>
    <col min="4358" max="4358" width="25.28515625" style="901" customWidth="1"/>
    <col min="4359" max="4359" width="11.7109375" style="901" customWidth="1"/>
    <col min="4360" max="4363" width="11" style="901" customWidth="1"/>
    <col min="4364" max="4367" width="12.85546875" style="901" customWidth="1"/>
    <col min="4368" max="4368" width="17.85546875" style="901" customWidth="1"/>
    <col min="4369" max="4369" width="2.140625" style="901" customWidth="1"/>
    <col min="4370" max="4608" width="8.85546875" style="901"/>
    <col min="4609" max="4609" width="3.28515625" style="901" customWidth="1"/>
    <col min="4610" max="4610" width="2.85546875" style="901" customWidth="1"/>
    <col min="4611" max="4611" width="6.5703125" style="901" customWidth="1"/>
    <col min="4612" max="4612" width="137.28515625" style="901" customWidth="1"/>
    <col min="4613" max="4613" width="21.28515625" style="901" customWidth="1"/>
    <col min="4614" max="4614" width="25.28515625" style="901" customWidth="1"/>
    <col min="4615" max="4615" width="11.7109375" style="901" customWidth="1"/>
    <col min="4616" max="4619" width="11" style="901" customWidth="1"/>
    <col min="4620" max="4623" width="12.85546875" style="901" customWidth="1"/>
    <col min="4624" max="4624" width="17.85546875" style="901" customWidth="1"/>
    <col min="4625" max="4625" width="2.140625" style="901" customWidth="1"/>
    <col min="4626" max="4864" width="8.85546875" style="901"/>
    <col min="4865" max="4865" width="3.28515625" style="901" customWidth="1"/>
    <col min="4866" max="4866" width="2.85546875" style="901" customWidth="1"/>
    <col min="4867" max="4867" width="6.5703125" style="901" customWidth="1"/>
    <col min="4868" max="4868" width="137.28515625" style="901" customWidth="1"/>
    <col min="4869" max="4869" width="21.28515625" style="901" customWidth="1"/>
    <col min="4870" max="4870" width="25.28515625" style="901" customWidth="1"/>
    <col min="4871" max="4871" width="11.7109375" style="901" customWidth="1"/>
    <col min="4872" max="4875" width="11" style="901" customWidth="1"/>
    <col min="4876" max="4879" width="12.85546875" style="901" customWidth="1"/>
    <col min="4880" max="4880" width="17.85546875" style="901" customWidth="1"/>
    <col min="4881" max="4881" width="2.140625" style="901" customWidth="1"/>
    <col min="4882" max="5120" width="8.85546875" style="901"/>
    <col min="5121" max="5121" width="3.28515625" style="901" customWidth="1"/>
    <col min="5122" max="5122" width="2.85546875" style="901" customWidth="1"/>
    <col min="5123" max="5123" width="6.5703125" style="901" customWidth="1"/>
    <col min="5124" max="5124" width="137.28515625" style="901" customWidth="1"/>
    <col min="5125" max="5125" width="21.28515625" style="901" customWidth="1"/>
    <col min="5126" max="5126" width="25.28515625" style="901" customWidth="1"/>
    <col min="5127" max="5127" width="11.7109375" style="901" customWidth="1"/>
    <col min="5128" max="5131" width="11" style="901" customWidth="1"/>
    <col min="5132" max="5135" width="12.85546875" style="901" customWidth="1"/>
    <col min="5136" max="5136" width="17.85546875" style="901" customWidth="1"/>
    <col min="5137" max="5137" width="2.140625" style="901" customWidth="1"/>
    <col min="5138" max="5376" width="8.85546875" style="901"/>
    <col min="5377" max="5377" width="3.28515625" style="901" customWidth="1"/>
    <col min="5378" max="5378" width="2.85546875" style="901" customWidth="1"/>
    <col min="5379" max="5379" width="6.5703125" style="901" customWidth="1"/>
    <col min="5380" max="5380" width="137.28515625" style="901" customWidth="1"/>
    <col min="5381" max="5381" width="21.28515625" style="901" customWidth="1"/>
    <col min="5382" max="5382" width="25.28515625" style="901" customWidth="1"/>
    <col min="5383" max="5383" width="11.7109375" style="901" customWidth="1"/>
    <col min="5384" max="5387" width="11" style="901" customWidth="1"/>
    <col min="5388" max="5391" width="12.85546875" style="901" customWidth="1"/>
    <col min="5392" max="5392" width="17.85546875" style="901" customWidth="1"/>
    <col min="5393" max="5393" width="2.140625" style="901" customWidth="1"/>
    <col min="5394" max="5632" width="8.85546875" style="901"/>
    <col min="5633" max="5633" width="3.28515625" style="901" customWidth="1"/>
    <col min="5634" max="5634" width="2.85546875" style="901" customWidth="1"/>
    <col min="5635" max="5635" width="6.5703125" style="901" customWidth="1"/>
    <col min="5636" max="5636" width="137.28515625" style="901" customWidth="1"/>
    <col min="5637" max="5637" width="21.28515625" style="901" customWidth="1"/>
    <col min="5638" max="5638" width="25.28515625" style="901" customWidth="1"/>
    <col min="5639" max="5639" width="11.7109375" style="901" customWidth="1"/>
    <col min="5640" max="5643" width="11" style="901" customWidth="1"/>
    <col min="5644" max="5647" width="12.85546875" style="901" customWidth="1"/>
    <col min="5648" max="5648" width="17.85546875" style="901" customWidth="1"/>
    <col min="5649" max="5649" width="2.140625" style="901" customWidth="1"/>
    <col min="5650" max="5888" width="8.85546875" style="901"/>
    <col min="5889" max="5889" width="3.28515625" style="901" customWidth="1"/>
    <col min="5890" max="5890" width="2.85546875" style="901" customWidth="1"/>
    <col min="5891" max="5891" width="6.5703125" style="901" customWidth="1"/>
    <col min="5892" max="5892" width="137.28515625" style="901" customWidth="1"/>
    <col min="5893" max="5893" width="21.28515625" style="901" customWidth="1"/>
    <col min="5894" max="5894" width="25.28515625" style="901" customWidth="1"/>
    <col min="5895" max="5895" width="11.7109375" style="901" customWidth="1"/>
    <col min="5896" max="5899" width="11" style="901" customWidth="1"/>
    <col min="5900" max="5903" width="12.85546875" style="901" customWidth="1"/>
    <col min="5904" max="5904" width="17.85546875" style="901" customWidth="1"/>
    <col min="5905" max="5905" width="2.140625" style="901" customWidth="1"/>
    <col min="5906" max="6144" width="8.85546875" style="901"/>
    <col min="6145" max="6145" width="3.28515625" style="901" customWidth="1"/>
    <col min="6146" max="6146" width="2.85546875" style="901" customWidth="1"/>
    <col min="6147" max="6147" width="6.5703125" style="901" customWidth="1"/>
    <col min="6148" max="6148" width="137.28515625" style="901" customWidth="1"/>
    <col min="6149" max="6149" width="21.28515625" style="901" customWidth="1"/>
    <col min="6150" max="6150" width="25.28515625" style="901" customWidth="1"/>
    <col min="6151" max="6151" width="11.7109375" style="901" customWidth="1"/>
    <col min="6152" max="6155" width="11" style="901" customWidth="1"/>
    <col min="6156" max="6159" width="12.85546875" style="901" customWidth="1"/>
    <col min="6160" max="6160" width="17.85546875" style="901" customWidth="1"/>
    <col min="6161" max="6161" width="2.140625" style="901" customWidth="1"/>
    <col min="6162" max="6400" width="8.85546875" style="901"/>
    <col min="6401" max="6401" width="3.28515625" style="901" customWidth="1"/>
    <col min="6402" max="6402" width="2.85546875" style="901" customWidth="1"/>
    <col min="6403" max="6403" width="6.5703125" style="901" customWidth="1"/>
    <col min="6404" max="6404" width="137.28515625" style="901" customWidth="1"/>
    <col min="6405" max="6405" width="21.28515625" style="901" customWidth="1"/>
    <col min="6406" max="6406" width="25.28515625" style="901" customWidth="1"/>
    <col min="6407" max="6407" width="11.7109375" style="901" customWidth="1"/>
    <col min="6408" max="6411" width="11" style="901" customWidth="1"/>
    <col min="6412" max="6415" width="12.85546875" style="901" customWidth="1"/>
    <col min="6416" max="6416" width="17.85546875" style="901" customWidth="1"/>
    <col min="6417" max="6417" width="2.140625" style="901" customWidth="1"/>
    <col min="6418" max="6656" width="8.85546875" style="901"/>
    <col min="6657" max="6657" width="3.28515625" style="901" customWidth="1"/>
    <col min="6658" max="6658" width="2.85546875" style="901" customWidth="1"/>
    <col min="6659" max="6659" width="6.5703125" style="901" customWidth="1"/>
    <col min="6660" max="6660" width="137.28515625" style="901" customWidth="1"/>
    <col min="6661" max="6661" width="21.28515625" style="901" customWidth="1"/>
    <col min="6662" max="6662" width="25.28515625" style="901" customWidth="1"/>
    <col min="6663" max="6663" width="11.7109375" style="901" customWidth="1"/>
    <col min="6664" max="6667" width="11" style="901" customWidth="1"/>
    <col min="6668" max="6671" width="12.85546875" style="901" customWidth="1"/>
    <col min="6672" max="6672" width="17.85546875" style="901" customWidth="1"/>
    <col min="6673" max="6673" width="2.140625" style="901" customWidth="1"/>
    <col min="6674" max="6912" width="8.85546875" style="901"/>
    <col min="6913" max="6913" width="3.28515625" style="901" customWidth="1"/>
    <col min="6914" max="6914" width="2.85546875" style="901" customWidth="1"/>
    <col min="6915" max="6915" width="6.5703125" style="901" customWidth="1"/>
    <col min="6916" max="6916" width="137.28515625" style="901" customWidth="1"/>
    <col min="6917" max="6917" width="21.28515625" style="901" customWidth="1"/>
    <col min="6918" max="6918" width="25.28515625" style="901" customWidth="1"/>
    <col min="6919" max="6919" width="11.7109375" style="901" customWidth="1"/>
    <col min="6920" max="6923" width="11" style="901" customWidth="1"/>
    <col min="6924" max="6927" width="12.85546875" style="901" customWidth="1"/>
    <col min="6928" max="6928" width="17.85546875" style="901" customWidth="1"/>
    <col min="6929" max="6929" width="2.140625" style="901" customWidth="1"/>
    <col min="6930" max="7168" width="8.85546875" style="901"/>
    <col min="7169" max="7169" width="3.28515625" style="901" customWidth="1"/>
    <col min="7170" max="7170" width="2.85546875" style="901" customWidth="1"/>
    <col min="7171" max="7171" width="6.5703125" style="901" customWidth="1"/>
    <col min="7172" max="7172" width="137.28515625" style="901" customWidth="1"/>
    <col min="7173" max="7173" width="21.28515625" style="901" customWidth="1"/>
    <col min="7174" max="7174" width="25.28515625" style="901" customWidth="1"/>
    <col min="7175" max="7175" width="11.7109375" style="901" customWidth="1"/>
    <col min="7176" max="7179" width="11" style="901" customWidth="1"/>
    <col min="7180" max="7183" width="12.85546875" style="901" customWidth="1"/>
    <col min="7184" max="7184" width="17.85546875" style="901" customWidth="1"/>
    <col min="7185" max="7185" width="2.140625" style="901" customWidth="1"/>
    <col min="7186" max="7424" width="8.85546875" style="901"/>
    <col min="7425" max="7425" width="3.28515625" style="901" customWidth="1"/>
    <col min="7426" max="7426" width="2.85546875" style="901" customWidth="1"/>
    <col min="7427" max="7427" width="6.5703125" style="901" customWidth="1"/>
    <col min="7428" max="7428" width="137.28515625" style="901" customWidth="1"/>
    <col min="7429" max="7429" width="21.28515625" style="901" customWidth="1"/>
    <col min="7430" max="7430" width="25.28515625" style="901" customWidth="1"/>
    <col min="7431" max="7431" width="11.7109375" style="901" customWidth="1"/>
    <col min="7432" max="7435" width="11" style="901" customWidth="1"/>
    <col min="7436" max="7439" width="12.85546875" style="901" customWidth="1"/>
    <col min="7440" max="7440" width="17.85546875" style="901" customWidth="1"/>
    <col min="7441" max="7441" width="2.140625" style="901" customWidth="1"/>
    <col min="7442" max="7680" width="8.85546875" style="901"/>
    <col min="7681" max="7681" width="3.28515625" style="901" customWidth="1"/>
    <col min="7682" max="7682" width="2.85546875" style="901" customWidth="1"/>
    <col min="7683" max="7683" width="6.5703125" style="901" customWidth="1"/>
    <col min="7684" max="7684" width="137.28515625" style="901" customWidth="1"/>
    <col min="7685" max="7685" width="21.28515625" style="901" customWidth="1"/>
    <col min="7686" max="7686" width="25.28515625" style="901" customWidth="1"/>
    <col min="7687" max="7687" width="11.7109375" style="901" customWidth="1"/>
    <col min="7688" max="7691" width="11" style="901" customWidth="1"/>
    <col min="7692" max="7695" width="12.85546875" style="901" customWidth="1"/>
    <col min="7696" max="7696" width="17.85546875" style="901" customWidth="1"/>
    <col min="7697" max="7697" width="2.140625" style="901" customWidth="1"/>
    <col min="7698" max="7936" width="8.85546875" style="901"/>
    <col min="7937" max="7937" width="3.28515625" style="901" customWidth="1"/>
    <col min="7938" max="7938" width="2.85546875" style="901" customWidth="1"/>
    <col min="7939" max="7939" width="6.5703125" style="901" customWidth="1"/>
    <col min="7940" max="7940" width="137.28515625" style="901" customWidth="1"/>
    <col min="7941" max="7941" width="21.28515625" style="901" customWidth="1"/>
    <col min="7942" max="7942" width="25.28515625" style="901" customWidth="1"/>
    <col min="7943" max="7943" width="11.7109375" style="901" customWidth="1"/>
    <col min="7944" max="7947" width="11" style="901" customWidth="1"/>
    <col min="7948" max="7951" width="12.85546875" style="901" customWidth="1"/>
    <col min="7952" max="7952" width="17.85546875" style="901" customWidth="1"/>
    <col min="7953" max="7953" width="2.140625" style="901" customWidth="1"/>
    <col min="7954" max="8192" width="8.85546875" style="901"/>
    <col min="8193" max="8193" width="3.28515625" style="901" customWidth="1"/>
    <col min="8194" max="8194" width="2.85546875" style="901" customWidth="1"/>
    <col min="8195" max="8195" width="6.5703125" style="901" customWidth="1"/>
    <col min="8196" max="8196" width="137.28515625" style="901" customWidth="1"/>
    <col min="8197" max="8197" width="21.28515625" style="901" customWidth="1"/>
    <col min="8198" max="8198" width="25.28515625" style="901" customWidth="1"/>
    <col min="8199" max="8199" width="11.7109375" style="901" customWidth="1"/>
    <col min="8200" max="8203" width="11" style="901" customWidth="1"/>
    <col min="8204" max="8207" width="12.85546875" style="901" customWidth="1"/>
    <col min="8208" max="8208" width="17.85546875" style="901" customWidth="1"/>
    <col min="8209" max="8209" width="2.140625" style="901" customWidth="1"/>
    <col min="8210" max="8448" width="8.85546875" style="901"/>
    <col min="8449" max="8449" width="3.28515625" style="901" customWidth="1"/>
    <col min="8450" max="8450" width="2.85546875" style="901" customWidth="1"/>
    <col min="8451" max="8451" width="6.5703125" style="901" customWidth="1"/>
    <col min="8452" max="8452" width="137.28515625" style="901" customWidth="1"/>
    <col min="8453" max="8453" width="21.28515625" style="901" customWidth="1"/>
    <col min="8454" max="8454" width="25.28515625" style="901" customWidth="1"/>
    <col min="8455" max="8455" width="11.7109375" style="901" customWidth="1"/>
    <col min="8456" max="8459" width="11" style="901" customWidth="1"/>
    <col min="8460" max="8463" width="12.85546875" style="901" customWidth="1"/>
    <col min="8464" max="8464" width="17.85546875" style="901" customWidth="1"/>
    <col min="8465" max="8465" width="2.140625" style="901" customWidth="1"/>
    <col min="8466" max="8704" width="8.85546875" style="901"/>
    <col min="8705" max="8705" width="3.28515625" style="901" customWidth="1"/>
    <col min="8706" max="8706" width="2.85546875" style="901" customWidth="1"/>
    <col min="8707" max="8707" width="6.5703125" style="901" customWidth="1"/>
    <col min="8708" max="8708" width="137.28515625" style="901" customWidth="1"/>
    <col min="8709" max="8709" width="21.28515625" style="901" customWidth="1"/>
    <col min="8710" max="8710" width="25.28515625" style="901" customWidth="1"/>
    <col min="8711" max="8711" width="11.7109375" style="901" customWidth="1"/>
    <col min="8712" max="8715" width="11" style="901" customWidth="1"/>
    <col min="8716" max="8719" width="12.85546875" style="901" customWidth="1"/>
    <col min="8720" max="8720" width="17.85546875" style="901" customWidth="1"/>
    <col min="8721" max="8721" width="2.140625" style="901" customWidth="1"/>
    <col min="8722" max="8960" width="8.85546875" style="901"/>
    <col min="8961" max="8961" width="3.28515625" style="901" customWidth="1"/>
    <col min="8962" max="8962" width="2.85546875" style="901" customWidth="1"/>
    <col min="8963" max="8963" width="6.5703125" style="901" customWidth="1"/>
    <col min="8964" max="8964" width="137.28515625" style="901" customWidth="1"/>
    <col min="8965" max="8965" width="21.28515625" style="901" customWidth="1"/>
    <col min="8966" max="8966" width="25.28515625" style="901" customWidth="1"/>
    <col min="8967" max="8967" width="11.7109375" style="901" customWidth="1"/>
    <col min="8968" max="8971" width="11" style="901" customWidth="1"/>
    <col min="8972" max="8975" width="12.85546875" style="901" customWidth="1"/>
    <col min="8976" max="8976" width="17.85546875" style="901" customWidth="1"/>
    <col min="8977" max="8977" width="2.140625" style="901" customWidth="1"/>
    <col min="8978" max="9216" width="8.85546875" style="901"/>
    <col min="9217" max="9217" width="3.28515625" style="901" customWidth="1"/>
    <col min="9218" max="9218" width="2.85546875" style="901" customWidth="1"/>
    <col min="9219" max="9219" width="6.5703125" style="901" customWidth="1"/>
    <col min="9220" max="9220" width="137.28515625" style="901" customWidth="1"/>
    <col min="9221" max="9221" width="21.28515625" style="901" customWidth="1"/>
    <col min="9222" max="9222" width="25.28515625" style="901" customWidth="1"/>
    <col min="9223" max="9223" width="11.7109375" style="901" customWidth="1"/>
    <col min="9224" max="9227" width="11" style="901" customWidth="1"/>
    <col min="9228" max="9231" width="12.85546875" style="901" customWidth="1"/>
    <col min="9232" max="9232" width="17.85546875" style="901" customWidth="1"/>
    <col min="9233" max="9233" width="2.140625" style="901" customWidth="1"/>
    <col min="9234" max="9472" width="8.85546875" style="901"/>
    <col min="9473" max="9473" width="3.28515625" style="901" customWidth="1"/>
    <col min="9474" max="9474" width="2.85546875" style="901" customWidth="1"/>
    <col min="9475" max="9475" width="6.5703125" style="901" customWidth="1"/>
    <col min="9476" max="9476" width="137.28515625" style="901" customWidth="1"/>
    <col min="9477" max="9477" width="21.28515625" style="901" customWidth="1"/>
    <col min="9478" max="9478" width="25.28515625" style="901" customWidth="1"/>
    <col min="9479" max="9479" width="11.7109375" style="901" customWidth="1"/>
    <col min="9480" max="9483" width="11" style="901" customWidth="1"/>
    <col min="9484" max="9487" width="12.85546875" style="901" customWidth="1"/>
    <col min="9488" max="9488" width="17.85546875" style="901" customWidth="1"/>
    <col min="9489" max="9489" width="2.140625" style="901" customWidth="1"/>
    <col min="9490" max="9728" width="8.85546875" style="901"/>
    <col min="9729" max="9729" width="3.28515625" style="901" customWidth="1"/>
    <col min="9730" max="9730" width="2.85546875" style="901" customWidth="1"/>
    <col min="9731" max="9731" width="6.5703125" style="901" customWidth="1"/>
    <col min="9732" max="9732" width="137.28515625" style="901" customWidth="1"/>
    <col min="9733" max="9733" width="21.28515625" style="901" customWidth="1"/>
    <col min="9734" max="9734" width="25.28515625" style="901" customWidth="1"/>
    <col min="9735" max="9735" width="11.7109375" style="901" customWidth="1"/>
    <col min="9736" max="9739" width="11" style="901" customWidth="1"/>
    <col min="9740" max="9743" width="12.85546875" style="901" customWidth="1"/>
    <col min="9744" max="9744" width="17.85546875" style="901" customWidth="1"/>
    <col min="9745" max="9745" width="2.140625" style="901" customWidth="1"/>
    <col min="9746" max="9984" width="8.85546875" style="901"/>
    <col min="9985" max="9985" width="3.28515625" style="901" customWidth="1"/>
    <col min="9986" max="9986" width="2.85546875" style="901" customWidth="1"/>
    <col min="9987" max="9987" width="6.5703125" style="901" customWidth="1"/>
    <col min="9988" max="9988" width="137.28515625" style="901" customWidth="1"/>
    <col min="9989" max="9989" width="21.28515625" style="901" customWidth="1"/>
    <col min="9990" max="9990" width="25.28515625" style="901" customWidth="1"/>
    <col min="9991" max="9991" width="11.7109375" style="901" customWidth="1"/>
    <col min="9992" max="9995" width="11" style="901" customWidth="1"/>
    <col min="9996" max="9999" width="12.85546875" style="901" customWidth="1"/>
    <col min="10000" max="10000" width="17.85546875" style="901" customWidth="1"/>
    <col min="10001" max="10001" width="2.140625" style="901" customWidth="1"/>
    <col min="10002" max="10240" width="8.85546875" style="901"/>
    <col min="10241" max="10241" width="3.28515625" style="901" customWidth="1"/>
    <col min="10242" max="10242" width="2.85546875" style="901" customWidth="1"/>
    <col min="10243" max="10243" width="6.5703125" style="901" customWidth="1"/>
    <col min="10244" max="10244" width="137.28515625" style="901" customWidth="1"/>
    <col min="10245" max="10245" width="21.28515625" style="901" customWidth="1"/>
    <col min="10246" max="10246" width="25.28515625" style="901" customWidth="1"/>
    <col min="10247" max="10247" width="11.7109375" style="901" customWidth="1"/>
    <col min="10248" max="10251" width="11" style="901" customWidth="1"/>
    <col min="10252" max="10255" width="12.85546875" style="901" customWidth="1"/>
    <col min="10256" max="10256" width="17.85546875" style="901" customWidth="1"/>
    <col min="10257" max="10257" width="2.140625" style="901" customWidth="1"/>
    <col min="10258" max="10496" width="8.85546875" style="901"/>
    <col min="10497" max="10497" width="3.28515625" style="901" customWidth="1"/>
    <col min="10498" max="10498" width="2.85546875" style="901" customWidth="1"/>
    <col min="10499" max="10499" width="6.5703125" style="901" customWidth="1"/>
    <col min="10500" max="10500" width="137.28515625" style="901" customWidth="1"/>
    <col min="10501" max="10501" width="21.28515625" style="901" customWidth="1"/>
    <col min="10502" max="10502" width="25.28515625" style="901" customWidth="1"/>
    <col min="10503" max="10503" width="11.7109375" style="901" customWidth="1"/>
    <col min="10504" max="10507" width="11" style="901" customWidth="1"/>
    <col min="10508" max="10511" width="12.85546875" style="901" customWidth="1"/>
    <col min="10512" max="10512" width="17.85546875" style="901" customWidth="1"/>
    <col min="10513" max="10513" width="2.140625" style="901" customWidth="1"/>
    <col min="10514" max="10752" width="8.85546875" style="901"/>
    <col min="10753" max="10753" width="3.28515625" style="901" customWidth="1"/>
    <col min="10754" max="10754" width="2.85546875" style="901" customWidth="1"/>
    <col min="10755" max="10755" width="6.5703125" style="901" customWidth="1"/>
    <col min="10756" max="10756" width="137.28515625" style="901" customWidth="1"/>
    <col min="10757" max="10757" width="21.28515625" style="901" customWidth="1"/>
    <col min="10758" max="10758" width="25.28515625" style="901" customWidth="1"/>
    <col min="10759" max="10759" width="11.7109375" style="901" customWidth="1"/>
    <col min="10760" max="10763" width="11" style="901" customWidth="1"/>
    <col min="10764" max="10767" width="12.85546875" style="901" customWidth="1"/>
    <col min="10768" max="10768" width="17.85546875" style="901" customWidth="1"/>
    <col min="10769" max="10769" width="2.140625" style="901" customWidth="1"/>
    <col min="10770" max="11008" width="8.85546875" style="901"/>
    <col min="11009" max="11009" width="3.28515625" style="901" customWidth="1"/>
    <col min="11010" max="11010" width="2.85546875" style="901" customWidth="1"/>
    <col min="11011" max="11011" width="6.5703125" style="901" customWidth="1"/>
    <col min="11012" max="11012" width="137.28515625" style="901" customWidth="1"/>
    <col min="11013" max="11013" width="21.28515625" style="901" customWidth="1"/>
    <col min="11014" max="11014" width="25.28515625" style="901" customWidth="1"/>
    <col min="11015" max="11015" width="11.7109375" style="901" customWidth="1"/>
    <col min="11016" max="11019" width="11" style="901" customWidth="1"/>
    <col min="11020" max="11023" width="12.85546875" style="901" customWidth="1"/>
    <col min="11024" max="11024" width="17.85546875" style="901" customWidth="1"/>
    <col min="11025" max="11025" width="2.140625" style="901" customWidth="1"/>
    <col min="11026" max="11264" width="8.85546875" style="901"/>
    <col min="11265" max="11265" width="3.28515625" style="901" customWidth="1"/>
    <col min="11266" max="11266" width="2.85546875" style="901" customWidth="1"/>
    <col min="11267" max="11267" width="6.5703125" style="901" customWidth="1"/>
    <col min="11268" max="11268" width="137.28515625" style="901" customWidth="1"/>
    <col min="11269" max="11269" width="21.28515625" style="901" customWidth="1"/>
    <col min="11270" max="11270" width="25.28515625" style="901" customWidth="1"/>
    <col min="11271" max="11271" width="11.7109375" style="901" customWidth="1"/>
    <col min="11272" max="11275" width="11" style="901" customWidth="1"/>
    <col min="11276" max="11279" width="12.85546875" style="901" customWidth="1"/>
    <col min="11280" max="11280" width="17.85546875" style="901" customWidth="1"/>
    <col min="11281" max="11281" width="2.140625" style="901" customWidth="1"/>
    <col min="11282" max="11520" width="8.85546875" style="901"/>
    <col min="11521" max="11521" width="3.28515625" style="901" customWidth="1"/>
    <col min="11522" max="11522" width="2.85546875" style="901" customWidth="1"/>
    <col min="11523" max="11523" width="6.5703125" style="901" customWidth="1"/>
    <col min="11524" max="11524" width="137.28515625" style="901" customWidth="1"/>
    <col min="11525" max="11525" width="21.28515625" style="901" customWidth="1"/>
    <col min="11526" max="11526" width="25.28515625" style="901" customWidth="1"/>
    <col min="11527" max="11527" width="11.7109375" style="901" customWidth="1"/>
    <col min="11528" max="11531" width="11" style="901" customWidth="1"/>
    <col min="11532" max="11535" width="12.85546875" style="901" customWidth="1"/>
    <col min="11536" max="11536" width="17.85546875" style="901" customWidth="1"/>
    <col min="11537" max="11537" width="2.140625" style="901" customWidth="1"/>
    <col min="11538" max="11776" width="8.85546875" style="901"/>
    <col min="11777" max="11777" width="3.28515625" style="901" customWidth="1"/>
    <col min="11778" max="11778" width="2.85546875" style="901" customWidth="1"/>
    <col min="11779" max="11779" width="6.5703125" style="901" customWidth="1"/>
    <col min="11780" max="11780" width="137.28515625" style="901" customWidth="1"/>
    <col min="11781" max="11781" width="21.28515625" style="901" customWidth="1"/>
    <col min="11782" max="11782" width="25.28515625" style="901" customWidth="1"/>
    <col min="11783" max="11783" width="11.7109375" style="901" customWidth="1"/>
    <col min="11784" max="11787" width="11" style="901" customWidth="1"/>
    <col min="11788" max="11791" width="12.85546875" style="901" customWidth="1"/>
    <col min="11792" max="11792" width="17.85546875" style="901" customWidth="1"/>
    <col min="11793" max="11793" width="2.140625" style="901" customWidth="1"/>
    <col min="11794" max="12032" width="8.85546875" style="901"/>
    <col min="12033" max="12033" width="3.28515625" style="901" customWidth="1"/>
    <col min="12034" max="12034" width="2.85546875" style="901" customWidth="1"/>
    <col min="12035" max="12035" width="6.5703125" style="901" customWidth="1"/>
    <col min="12036" max="12036" width="137.28515625" style="901" customWidth="1"/>
    <col min="12037" max="12037" width="21.28515625" style="901" customWidth="1"/>
    <col min="12038" max="12038" width="25.28515625" style="901" customWidth="1"/>
    <col min="12039" max="12039" width="11.7109375" style="901" customWidth="1"/>
    <col min="12040" max="12043" width="11" style="901" customWidth="1"/>
    <col min="12044" max="12047" width="12.85546875" style="901" customWidth="1"/>
    <col min="12048" max="12048" width="17.85546875" style="901" customWidth="1"/>
    <col min="12049" max="12049" width="2.140625" style="901" customWidth="1"/>
    <col min="12050" max="12288" width="8.85546875" style="901"/>
    <col min="12289" max="12289" width="3.28515625" style="901" customWidth="1"/>
    <col min="12290" max="12290" width="2.85546875" style="901" customWidth="1"/>
    <col min="12291" max="12291" width="6.5703125" style="901" customWidth="1"/>
    <col min="12292" max="12292" width="137.28515625" style="901" customWidth="1"/>
    <col min="12293" max="12293" width="21.28515625" style="901" customWidth="1"/>
    <col min="12294" max="12294" width="25.28515625" style="901" customWidth="1"/>
    <col min="12295" max="12295" width="11.7109375" style="901" customWidth="1"/>
    <col min="12296" max="12299" width="11" style="901" customWidth="1"/>
    <col min="12300" max="12303" width="12.85546875" style="901" customWidth="1"/>
    <col min="12304" max="12304" width="17.85546875" style="901" customWidth="1"/>
    <col min="12305" max="12305" width="2.140625" style="901" customWidth="1"/>
    <col min="12306" max="12544" width="8.85546875" style="901"/>
    <col min="12545" max="12545" width="3.28515625" style="901" customWidth="1"/>
    <col min="12546" max="12546" width="2.85546875" style="901" customWidth="1"/>
    <col min="12547" max="12547" width="6.5703125" style="901" customWidth="1"/>
    <col min="12548" max="12548" width="137.28515625" style="901" customWidth="1"/>
    <col min="12549" max="12549" width="21.28515625" style="901" customWidth="1"/>
    <col min="12550" max="12550" width="25.28515625" style="901" customWidth="1"/>
    <col min="12551" max="12551" width="11.7109375" style="901" customWidth="1"/>
    <col min="12552" max="12555" width="11" style="901" customWidth="1"/>
    <col min="12556" max="12559" width="12.85546875" style="901" customWidth="1"/>
    <col min="12560" max="12560" width="17.85546875" style="901" customWidth="1"/>
    <col min="12561" max="12561" width="2.140625" style="901" customWidth="1"/>
    <col min="12562" max="12800" width="8.85546875" style="901"/>
    <col min="12801" max="12801" width="3.28515625" style="901" customWidth="1"/>
    <col min="12802" max="12802" width="2.85546875" style="901" customWidth="1"/>
    <col min="12803" max="12803" width="6.5703125" style="901" customWidth="1"/>
    <col min="12804" max="12804" width="137.28515625" style="901" customWidth="1"/>
    <col min="12805" max="12805" width="21.28515625" style="901" customWidth="1"/>
    <col min="12806" max="12806" width="25.28515625" style="901" customWidth="1"/>
    <col min="12807" max="12807" width="11.7109375" style="901" customWidth="1"/>
    <col min="12808" max="12811" width="11" style="901" customWidth="1"/>
    <col min="12812" max="12815" width="12.85546875" style="901" customWidth="1"/>
    <col min="12816" max="12816" width="17.85546875" style="901" customWidth="1"/>
    <col min="12817" max="12817" width="2.140625" style="901" customWidth="1"/>
    <col min="12818" max="13056" width="8.85546875" style="901"/>
    <col min="13057" max="13057" width="3.28515625" style="901" customWidth="1"/>
    <col min="13058" max="13058" width="2.85546875" style="901" customWidth="1"/>
    <col min="13059" max="13059" width="6.5703125" style="901" customWidth="1"/>
    <col min="13060" max="13060" width="137.28515625" style="901" customWidth="1"/>
    <col min="13061" max="13061" width="21.28515625" style="901" customWidth="1"/>
    <col min="13062" max="13062" width="25.28515625" style="901" customWidth="1"/>
    <col min="13063" max="13063" width="11.7109375" style="901" customWidth="1"/>
    <col min="13064" max="13067" width="11" style="901" customWidth="1"/>
    <col min="13068" max="13071" width="12.85546875" style="901" customWidth="1"/>
    <col min="13072" max="13072" width="17.85546875" style="901" customWidth="1"/>
    <col min="13073" max="13073" width="2.140625" style="901" customWidth="1"/>
    <col min="13074" max="13312" width="8.85546875" style="901"/>
    <col min="13313" max="13313" width="3.28515625" style="901" customWidth="1"/>
    <col min="13314" max="13314" width="2.85546875" style="901" customWidth="1"/>
    <col min="13315" max="13315" width="6.5703125" style="901" customWidth="1"/>
    <col min="13316" max="13316" width="137.28515625" style="901" customWidth="1"/>
    <col min="13317" max="13317" width="21.28515625" style="901" customWidth="1"/>
    <col min="13318" max="13318" width="25.28515625" style="901" customWidth="1"/>
    <col min="13319" max="13319" width="11.7109375" style="901" customWidth="1"/>
    <col min="13320" max="13323" width="11" style="901" customWidth="1"/>
    <col min="13324" max="13327" width="12.85546875" style="901" customWidth="1"/>
    <col min="13328" max="13328" width="17.85546875" style="901" customWidth="1"/>
    <col min="13329" max="13329" width="2.140625" style="901" customWidth="1"/>
    <col min="13330" max="13568" width="8.85546875" style="901"/>
    <col min="13569" max="13569" width="3.28515625" style="901" customWidth="1"/>
    <col min="13570" max="13570" width="2.85546875" style="901" customWidth="1"/>
    <col min="13571" max="13571" width="6.5703125" style="901" customWidth="1"/>
    <col min="13572" max="13572" width="137.28515625" style="901" customWidth="1"/>
    <col min="13573" max="13573" width="21.28515625" style="901" customWidth="1"/>
    <col min="13574" max="13574" width="25.28515625" style="901" customWidth="1"/>
    <col min="13575" max="13575" width="11.7109375" style="901" customWidth="1"/>
    <col min="13576" max="13579" width="11" style="901" customWidth="1"/>
    <col min="13580" max="13583" width="12.85546875" style="901" customWidth="1"/>
    <col min="13584" max="13584" width="17.85546875" style="901" customWidth="1"/>
    <col min="13585" max="13585" width="2.140625" style="901" customWidth="1"/>
    <col min="13586" max="13824" width="8.85546875" style="901"/>
    <col min="13825" max="13825" width="3.28515625" style="901" customWidth="1"/>
    <col min="13826" max="13826" width="2.85546875" style="901" customWidth="1"/>
    <col min="13827" max="13827" width="6.5703125" style="901" customWidth="1"/>
    <col min="13828" max="13828" width="137.28515625" style="901" customWidth="1"/>
    <col min="13829" max="13829" width="21.28515625" style="901" customWidth="1"/>
    <col min="13830" max="13830" width="25.28515625" style="901" customWidth="1"/>
    <col min="13831" max="13831" width="11.7109375" style="901" customWidth="1"/>
    <col min="13832" max="13835" width="11" style="901" customWidth="1"/>
    <col min="13836" max="13839" width="12.85546875" style="901" customWidth="1"/>
    <col min="13840" max="13840" width="17.85546875" style="901" customWidth="1"/>
    <col min="13841" max="13841" width="2.140625" style="901" customWidth="1"/>
    <col min="13842" max="14080" width="8.85546875" style="901"/>
    <col min="14081" max="14081" width="3.28515625" style="901" customWidth="1"/>
    <col min="14082" max="14082" width="2.85546875" style="901" customWidth="1"/>
    <col min="14083" max="14083" width="6.5703125" style="901" customWidth="1"/>
    <col min="14084" max="14084" width="137.28515625" style="901" customWidth="1"/>
    <col min="14085" max="14085" width="21.28515625" style="901" customWidth="1"/>
    <col min="14086" max="14086" width="25.28515625" style="901" customWidth="1"/>
    <col min="14087" max="14087" width="11.7109375" style="901" customWidth="1"/>
    <col min="14088" max="14091" width="11" style="901" customWidth="1"/>
    <col min="14092" max="14095" width="12.85546875" style="901" customWidth="1"/>
    <col min="14096" max="14096" width="17.85546875" style="901" customWidth="1"/>
    <col min="14097" max="14097" width="2.140625" style="901" customWidth="1"/>
    <col min="14098" max="14336" width="8.85546875" style="901"/>
    <col min="14337" max="14337" width="3.28515625" style="901" customWidth="1"/>
    <col min="14338" max="14338" width="2.85546875" style="901" customWidth="1"/>
    <col min="14339" max="14339" width="6.5703125" style="901" customWidth="1"/>
    <col min="14340" max="14340" width="137.28515625" style="901" customWidth="1"/>
    <col min="14341" max="14341" width="21.28515625" style="901" customWidth="1"/>
    <col min="14342" max="14342" width="25.28515625" style="901" customWidth="1"/>
    <col min="14343" max="14343" width="11.7109375" style="901" customWidth="1"/>
    <col min="14344" max="14347" width="11" style="901" customWidth="1"/>
    <col min="14348" max="14351" width="12.85546875" style="901" customWidth="1"/>
    <col min="14352" max="14352" width="17.85546875" style="901" customWidth="1"/>
    <col min="14353" max="14353" width="2.140625" style="901" customWidth="1"/>
    <col min="14354" max="14592" width="8.85546875" style="901"/>
    <col min="14593" max="14593" width="3.28515625" style="901" customWidth="1"/>
    <col min="14594" max="14594" width="2.85546875" style="901" customWidth="1"/>
    <col min="14595" max="14595" width="6.5703125" style="901" customWidth="1"/>
    <col min="14596" max="14596" width="137.28515625" style="901" customWidth="1"/>
    <col min="14597" max="14597" width="21.28515625" style="901" customWidth="1"/>
    <col min="14598" max="14598" width="25.28515625" style="901" customWidth="1"/>
    <col min="14599" max="14599" width="11.7109375" style="901" customWidth="1"/>
    <col min="14600" max="14603" width="11" style="901" customWidth="1"/>
    <col min="14604" max="14607" width="12.85546875" style="901" customWidth="1"/>
    <col min="14608" max="14608" width="17.85546875" style="901" customWidth="1"/>
    <col min="14609" max="14609" width="2.140625" style="901" customWidth="1"/>
    <col min="14610" max="14848" width="8.85546875" style="901"/>
    <col min="14849" max="14849" width="3.28515625" style="901" customWidth="1"/>
    <col min="14850" max="14850" width="2.85546875" style="901" customWidth="1"/>
    <col min="14851" max="14851" width="6.5703125" style="901" customWidth="1"/>
    <col min="14852" max="14852" width="137.28515625" style="901" customWidth="1"/>
    <col min="14853" max="14853" width="21.28515625" style="901" customWidth="1"/>
    <col min="14854" max="14854" width="25.28515625" style="901" customWidth="1"/>
    <col min="14855" max="14855" width="11.7109375" style="901" customWidth="1"/>
    <col min="14856" max="14859" width="11" style="901" customWidth="1"/>
    <col min="14860" max="14863" width="12.85546875" style="901" customWidth="1"/>
    <col min="14864" max="14864" width="17.85546875" style="901" customWidth="1"/>
    <col min="14865" max="14865" width="2.140625" style="901" customWidth="1"/>
    <col min="14866" max="15104" width="8.85546875" style="901"/>
    <col min="15105" max="15105" width="3.28515625" style="901" customWidth="1"/>
    <col min="15106" max="15106" width="2.85546875" style="901" customWidth="1"/>
    <col min="15107" max="15107" width="6.5703125" style="901" customWidth="1"/>
    <col min="15108" max="15108" width="137.28515625" style="901" customWidth="1"/>
    <col min="15109" max="15109" width="21.28515625" style="901" customWidth="1"/>
    <col min="15110" max="15110" width="25.28515625" style="901" customWidth="1"/>
    <col min="15111" max="15111" width="11.7109375" style="901" customWidth="1"/>
    <col min="15112" max="15115" width="11" style="901" customWidth="1"/>
    <col min="15116" max="15119" width="12.85546875" style="901" customWidth="1"/>
    <col min="15120" max="15120" width="17.85546875" style="901" customWidth="1"/>
    <col min="15121" max="15121" width="2.140625" style="901" customWidth="1"/>
    <col min="15122" max="15360" width="8.85546875" style="901"/>
    <col min="15361" max="15361" width="3.28515625" style="901" customWidth="1"/>
    <col min="15362" max="15362" width="2.85546875" style="901" customWidth="1"/>
    <col min="15363" max="15363" width="6.5703125" style="901" customWidth="1"/>
    <col min="15364" max="15364" width="137.28515625" style="901" customWidth="1"/>
    <col min="15365" max="15365" width="21.28515625" style="901" customWidth="1"/>
    <col min="15366" max="15366" width="25.28515625" style="901" customWidth="1"/>
    <col min="15367" max="15367" width="11.7109375" style="901" customWidth="1"/>
    <col min="15368" max="15371" width="11" style="901" customWidth="1"/>
    <col min="15372" max="15375" width="12.85546875" style="901" customWidth="1"/>
    <col min="15376" max="15376" width="17.85546875" style="901" customWidth="1"/>
    <col min="15377" max="15377" width="2.140625" style="901" customWidth="1"/>
    <col min="15378" max="15616" width="8.85546875" style="901"/>
    <col min="15617" max="15617" width="3.28515625" style="901" customWidth="1"/>
    <col min="15618" max="15618" width="2.85546875" style="901" customWidth="1"/>
    <col min="15619" max="15619" width="6.5703125" style="901" customWidth="1"/>
    <col min="15620" max="15620" width="137.28515625" style="901" customWidth="1"/>
    <col min="15621" max="15621" width="21.28515625" style="901" customWidth="1"/>
    <col min="15622" max="15622" width="25.28515625" style="901" customWidth="1"/>
    <col min="15623" max="15623" width="11.7109375" style="901" customWidth="1"/>
    <col min="15624" max="15627" width="11" style="901" customWidth="1"/>
    <col min="15628" max="15631" width="12.85546875" style="901" customWidth="1"/>
    <col min="15632" max="15632" width="17.85546875" style="901" customWidth="1"/>
    <col min="15633" max="15633" width="2.140625" style="901" customWidth="1"/>
    <col min="15634" max="15872" width="8.85546875" style="901"/>
    <col min="15873" max="15873" width="3.28515625" style="901" customWidth="1"/>
    <col min="15874" max="15874" width="2.85546875" style="901" customWidth="1"/>
    <col min="15875" max="15875" width="6.5703125" style="901" customWidth="1"/>
    <col min="15876" max="15876" width="137.28515625" style="901" customWidth="1"/>
    <col min="15877" max="15877" width="21.28515625" style="901" customWidth="1"/>
    <col min="15878" max="15878" width="25.28515625" style="901" customWidth="1"/>
    <col min="15879" max="15879" width="11.7109375" style="901" customWidth="1"/>
    <col min="15880" max="15883" width="11" style="901" customWidth="1"/>
    <col min="15884" max="15887" width="12.85546875" style="901" customWidth="1"/>
    <col min="15888" max="15888" width="17.85546875" style="901" customWidth="1"/>
    <col min="15889" max="15889" width="2.140625" style="901" customWidth="1"/>
    <col min="15890" max="16128" width="8.85546875" style="901"/>
    <col min="16129" max="16129" width="3.28515625" style="901" customWidth="1"/>
    <col min="16130" max="16130" width="2.85546875" style="901" customWidth="1"/>
    <col min="16131" max="16131" width="6.5703125" style="901" customWidth="1"/>
    <col min="16132" max="16132" width="137.28515625" style="901" customWidth="1"/>
    <col min="16133" max="16133" width="21.28515625" style="901" customWidth="1"/>
    <col min="16134" max="16134" width="25.28515625" style="901" customWidth="1"/>
    <col min="16135" max="16135" width="11.7109375" style="901" customWidth="1"/>
    <col min="16136" max="16139" width="11" style="901" customWidth="1"/>
    <col min="16140" max="16143" width="12.85546875" style="901" customWidth="1"/>
    <col min="16144" max="16144" width="17.85546875" style="901" customWidth="1"/>
    <col min="16145" max="16145" width="2.140625" style="901" customWidth="1"/>
    <col min="16146" max="16384" width="8.85546875" style="901"/>
  </cols>
  <sheetData>
    <row r="1" spans="1:16" x14ac:dyDescent="0.25">
      <c r="A1" s="895"/>
      <c r="B1" s="895"/>
      <c r="C1" s="896"/>
      <c r="D1" s="961"/>
      <c r="E1" s="897"/>
      <c r="F1" s="898"/>
      <c r="G1" s="899"/>
      <c r="H1" s="899"/>
      <c r="I1" s="899"/>
      <c r="J1" s="899"/>
      <c r="K1" s="899"/>
      <c r="L1" s="899"/>
      <c r="M1" s="899"/>
      <c r="N1" s="899"/>
      <c r="O1" s="899"/>
      <c r="P1" s="900"/>
    </row>
    <row r="2" spans="1:16" ht="14.1" customHeight="1" x14ac:dyDescent="0.25">
      <c r="A2" s="895"/>
      <c r="B2" s="895"/>
      <c r="C2" s="1330"/>
      <c r="D2" s="1330"/>
      <c r="E2" s="1330"/>
      <c r="F2" s="1330"/>
      <c r="G2" s="1330"/>
      <c r="H2" s="1330"/>
      <c r="I2" s="1330"/>
      <c r="J2" s="1330"/>
      <c r="K2" s="1330"/>
      <c r="L2" s="1330"/>
      <c r="M2" s="1330"/>
      <c r="N2" s="1330"/>
      <c r="O2" s="1330"/>
      <c r="P2" s="1330"/>
    </row>
    <row r="3" spans="1:16" s="903" customFormat="1" ht="20.100000000000001" customHeight="1" x14ac:dyDescent="0.25">
      <c r="A3" s="902"/>
      <c r="B3" s="902"/>
      <c r="C3" s="1331" t="s">
        <v>70</v>
      </c>
      <c r="D3" s="1331"/>
      <c r="E3" s="1331"/>
      <c r="F3" s="1331"/>
      <c r="G3" s="1331"/>
      <c r="H3" s="1331"/>
      <c r="I3" s="1331"/>
      <c r="J3" s="1331"/>
      <c r="K3" s="1331"/>
      <c r="L3" s="1331"/>
      <c r="M3" s="1331"/>
      <c r="N3" s="1331"/>
      <c r="O3" s="1331"/>
      <c r="P3" s="1331"/>
    </row>
    <row r="4" spans="1:16" s="903" customFormat="1" ht="20.100000000000001" customHeight="1" x14ac:dyDescent="0.25">
      <c r="A4" s="902"/>
      <c r="B4" s="902"/>
      <c r="C4" s="1331" t="s">
        <v>71</v>
      </c>
      <c r="D4" s="1331"/>
      <c r="E4" s="1331"/>
      <c r="F4" s="1331"/>
      <c r="G4" s="1331"/>
      <c r="H4" s="1331"/>
      <c r="I4" s="1331"/>
      <c r="J4" s="1331"/>
      <c r="K4" s="1331"/>
      <c r="L4" s="1331"/>
      <c r="M4" s="1331"/>
      <c r="N4" s="1331"/>
      <c r="O4" s="1331"/>
      <c r="P4" s="1331"/>
    </row>
    <row r="5" spans="1:16" s="903" customFormat="1" ht="20.100000000000001" customHeight="1" x14ac:dyDescent="0.25">
      <c r="A5" s="902"/>
      <c r="B5" s="902"/>
      <c r="C5" s="1331" t="s">
        <v>4514</v>
      </c>
      <c r="D5" s="1331"/>
      <c r="E5" s="1331"/>
      <c r="F5" s="1331"/>
      <c r="G5" s="1331"/>
      <c r="H5" s="1331"/>
      <c r="I5" s="1331"/>
      <c r="J5" s="1331"/>
      <c r="K5" s="1331"/>
      <c r="L5" s="1331"/>
      <c r="M5" s="1331"/>
      <c r="N5" s="1331"/>
      <c r="O5" s="1331"/>
      <c r="P5" s="1331"/>
    </row>
    <row r="6" spans="1:16" ht="14.1" customHeight="1" x14ac:dyDescent="0.25">
      <c r="A6" s="895"/>
      <c r="B6" s="895"/>
      <c r="C6" s="904"/>
      <c r="D6" s="962"/>
      <c r="E6" s="906"/>
      <c r="F6" s="906"/>
      <c r="G6" s="905"/>
      <c r="H6" s="904"/>
      <c r="I6" s="904"/>
      <c r="J6" s="904"/>
      <c r="K6" s="904"/>
      <c r="L6" s="904"/>
      <c r="M6" s="904"/>
      <c r="N6" s="904"/>
      <c r="O6" s="904"/>
      <c r="P6" s="904"/>
    </row>
    <row r="7" spans="1:16" ht="14.1" customHeight="1" x14ac:dyDescent="0.25">
      <c r="A7" s="895"/>
      <c r="B7" s="895"/>
      <c r="C7" s="1031" t="s">
        <v>73</v>
      </c>
      <c r="D7" s="1032"/>
      <c r="E7" s="906"/>
      <c r="F7" s="908"/>
      <c r="G7" s="902"/>
      <c r="H7" s="907"/>
      <c r="I7" s="907"/>
      <c r="J7" s="907"/>
      <c r="K7" s="907"/>
      <c r="L7" s="907"/>
      <c r="M7" s="907"/>
      <c r="N7" s="907"/>
      <c r="O7" s="907"/>
      <c r="P7" s="1332" t="s">
        <v>4282</v>
      </c>
    </row>
    <row r="8" spans="1:16" ht="18.75" customHeight="1" x14ac:dyDescent="0.25">
      <c r="A8" s="895"/>
      <c r="B8" s="895"/>
      <c r="C8" s="1033" t="s">
        <v>4519</v>
      </c>
      <c r="D8" s="1032"/>
      <c r="E8" s="910"/>
      <c r="F8" s="908"/>
      <c r="G8" s="902"/>
      <c r="H8" s="909"/>
      <c r="I8" s="909"/>
      <c r="J8" s="909"/>
      <c r="K8" s="909"/>
      <c r="L8" s="909"/>
      <c r="M8" s="911"/>
      <c r="N8" s="911"/>
      <c r="O8" s="911"/>
      <c r="P8" s="1332"/>
    </row>
    <row r="9" spans="1:16" ht="14.1" customHeight="1" x14ac:dyDescent="0.25">
      <c r="A9" s="895"/>
      <c r="B9" s="895"/>
      <c r="C9" s="976"/>
      <c r="D9" s="962"/>
      <c r="E9" s="906"/>
      <c r="F9" s="977"/>
      <c r="G9" s="962"/>
      <c r="H9" s="976"/>
      <c r="I9" s="976"/>
      <c r="J9" s="976"/>
      <c r="K9" s="976"/>
      <c r="L9" s="976"/>
      <c r="M9" s="911"/>
      <c r="N9" s="911"/>
      <c r="O9" s="911"/>
      <c r="P9" s="911"/>
    </row>
    <row r="10" spans="1:16" ht="35.25" customHeight="1" x14ac:dyDescent="0.25">
      <c r="B10" s="895"/>
      <c r="C10" s="1329" t="s">
        <v>6</v>
      </c>
      <c r="D10" s="1333" t="s">
        <v>7</v>
      </c>
      <c r="E10" s="1310" t="s">
        <v>8</v>
      </c>
      <c r="F10" s="1311"/>
      <c r="G10" s="1312"/>
      <c r="H10" s="1335" t="s">
        <v>9</v>
      </c>
      <c r="I10" s="1335"/>
      <c r="J10" s="1335"/>
      <c r="K10" s="1335"/>
      <c r="L10" s="1335" t="s">
        <v>10</v>
      </c>
      <c r="M10" s="1335"/>
      <c r="N10" s="1335"/>
      <c r="O10" s="1335"/>
      <c r="P10" s="1329" t="s">
        <v>11</v>
      </c>
    </row>
    <row r="11" spans="1:16" ht="117" customHeight="1" x14ac:dyDescent="0.25">
      <c r="B11" s="895"/>
      <c r="C11" s="1329"/>
      <c r="D11" s="1334"/>
      <c r="E11" s="893" t="s">
        <v>14</v>
      </c>
      <c r="F11" s="1021"/>
      <c r="G11" s="894" t="s">
        <v>4283</v>
      </c>
      <c r="H11" s="894" t="s">
        <v>4284</v>
      </c>
      <c r="I11" s="894" t="s">
        <v>4285</v>
      </c>
      <c r="J11" s="894" t="s">
        <v>4286</v>
      </c>
      <c r="K11" s="894" t="s">
        <v>4287</v>
      </c>
      <c r="L11" s="894" t="s">
        <v>14</v>
      </c>
      <c r="M11" s="894" t="s">
        <v>4195</v>
      </c>
      <c r="N11" s="894" t="s">
        <v>77</v>
      </c>
      <c r="O11" s="894" t="s">
        <v>78</v>
      </c>
      <c r="P11" s="1329"/>
    </row>
    <row r="12" spans="1:16" s="913" customFormat="1" ht="20.100000000000001" customHeight="1" x14ac:dyDescent="0.25">
      <c r="B12" s="905"/>
      <c r="C12" s="994" t="s">
        <v>18</v>
      </c>
      <c r="D12" s="995" t="s">
        <v>19</v>
      </c>
      <c r="E12" s="996" t="s">
        <v>20</v>
      </c>
      <c r="F12" s="1022"/>
      <c r="G12" s="997" t="s">
        <v>21</v>
      </c>
      <c r="H12" s="997" t="s">
        <v>22</v>
      </c>
      <c r="I12" s="997" t="s">
        <v>23</v>
      </c>
      <c r="J12" s="997" t="s">
        <v>24</v>
      </c>
      <c r="K12" s="997" t="s">
        <v>25</v>
      </c>
      <c r="L12" s="997" t="s">
        <v>26</v>
      </c>
      <c r="M12" s="994" t="s">
        <v>27</v>
      </c>
      <c r="N12" s="997" t="s">
        <v>28</v>
      </c>
      <c r="O12" s="994" t="s">
        <v>79</v>
      </c>
      <c r="P12" s="994" t="s">
        <v>3998</v>
      </c>
    </row>
    <row r="13" spans="1:16" ht="4.5" customHeight="1" x14ac:dyDescent="0.25">
      <c r="B13" s="895"/>
      <c r="C13" s="914"/>
      <c r="D13" s="963"/>
      <c r="E13" s="915"/>
      <c r="F13" s="915"/>
      <c r="G13" s="916"/>
      <c r="H13" s="916"/>
      <c r="I13" s="916"/>
      <c r="J13" s="916"/>
      <c r="K13" s="916"/>
      <c r="L13" s="916"/>
      <c r="M13" s="916"/>
      <c r="N13" s="916"/>
      <c r="O13" s="916"/>
      <c r="P13" s="914"/>
    </row>
    <row r="14" spans="1:16" ht="12" customHeight="1" thickBot="1" x14ac:dyDescent="0.3">
      <c r="B14" s="895"/>
      <c r="C14" s="978"/>
      <c r="D14" s="917"/>
      <c r="E14" s="918"/>
      <c r="F14" s="919"/>
      <c r="G14" s="920"/>
      <c r="H14" s="920"/>
      <c r="I14" s="920"/>
      <c r="J14" s="920"/>
      <c r="K14" s="920"/>
      <c r="L14" s="920"/>
      <c r="M14" s="920"/>
      <c r="N14" s="920"/>
      <c r="O14" s="920"/>
      <c r="P14" s="979"/>
    </row>
    <row r="15" spans="1:16" s="869" customFormat="1" ht="21.75" customHeight="1" thickTop="1" x14ac:dyDescent="0.25">
      <c r="B15" s="863"/>
      <c r="C15" s="980" t="s">
        <v>80</v>
      </c>
      <c r="D15" s="921" t="s">
        <v>81</v>
      </c>
      <c r="E15" s="922">
        <f>+E16+E39+E133+E148+E163+E174+E195+E206+E215+E230+E250+E266+E285+E300+E314+E321+E330+E337</f>
        <v>389351314600</v>
      </c>
      <c r="F15" s="1023">
        <v>389351314600</v>
      </c>
      <c r="G15" s="923">
        <f>+F15/E15*100</f>
        <v>100</v>
      </c>
      <c r="H15" s="924"/>
      <c r="I15" s="924"/>
      <c r="J15" s="925"/>
      <c r="K15" s="925"/>
      <c r="L15" s="925"/>
      <c r="M15" s="925"/>
      <c r="N15" s="925"/>
      <c r="O15" s="925"/>
      <c r="P15" s="925"/>
    </row>
    <row r="16" spans="1:16" s="869" customFormat="1" ht="21.75" customHeight="1" x14ac:dyDescent="0.25">
      <c r="B16" s="863"/>
      <c r="C16" s="981"/>
      <c r="D16" s="964" t="s">
        <v>82</v>
      </c>
      <c r="E16" s="926">
        <f>+E17+E21+E25+E27+E31</f>
        <v>97405000000</v>
      </c>
      <c r="F16" s="1029">
        <v>389351314600</v>
      </c>
      <c r="G16" s="927">
        <f>E16/F16*100</f>
        <v>25.01725211845477</v>
      </c>
      <c r="H16" s="870"/>
      <c r="I16" s="870"/>
      <c r="J16" s="865"/>
      <c r="K16" s="865"/>
      <c r="L16" s="865"/>
      <c r="M16" s="865"/>
      <c r="N16" s="865"/>
      <c r="O16" s="865"/>
      <c r="P16" s="865"/>
    </row>
    <row r="17" spans="2:16" s="869" customFormat="1" ht="21.75" customHeight="1" x14ac:dyDescent="0.25">
      <c r="B17" s="863"/>
      <c r="C17" s="981"/>
      <c r="D17" s="928" t="s">
        <v>83</v>
      </c>
      <c r="E17" s="926">
        <f>SUM(E18:E20)</f>
        <v>19807432930</v>
      </c>
      <c r="F17" s="1029">
        <v>389351314600</v>
      </c>
      <c r="G17" s="927">
        <f t="shared" ref="G17:G80" si="0">E17/F17*100</f>
        <v>5.0872906260376087</v>
      </c>
      <c r="H17" s="870"/>
      <c r="I17" s="870"/>
      <c r="J17" s="865"/>
      <c r="K17" s="865"/>
      <c r="L17" s="865"/>
      <c r="M17" s="865"/>
      <c r="N17" s="865"/>
      <c r="O17" s="865"/>
      <c r="P17" s="865"/>
    </row>
    <row r="18" spans="2:16" s="869" customFormat="1" ht="21.75" customHeight="1" x14ac:dyDescent="0.25">
      <c r="B18" s="863"/>
      <c r="C18" s="981"/>
      <c r="D18" s="929" t="s">
        <v>4290</v>
      </c>
      <c r="E18" s="930">
        <v>545200000</v>
      </c>
      <c r="F18" s="1029">
        <v>389351314600</v>
      </c>
      <c r="G18" s="927">
        <f t="shared" si="0"/>
        <v>0.14002777942591799</v>
      </c>
      <c r="H18" s="870"/>
      <c r="I18" s="870"/>
      <c r="J18" s="865"/>
      <c r="K18" s="865"/>
      <c r="L18" s="865"/>
      <c r="M18" s="865"/>
      <c r="N18" s="865"/>
      <c r="O18" s="865"/>
      <c r="P18" s="865"/>
    </row>
    <row r="19" spans="2:16" s="869" customFormat="1" ht="21.75" customHeight="1" x14ac:dyDescent="0.25">
      <c r="B19" s="863"/>
      <c r="C19" s="981"/>
      <c r="D19" s="929" t="s">
        <v>4291</v>
      </c>
      <c r="E19" s="930">
        <v>17515982930</v>
      </c>
      <c r="F19" s="1029">
        <v>389351314600</v>
      </c>
      <c r="G19" s="927">
        <f t="shared" si="0"/>
        <v>4.4987604441492746</v>
      </c>
      <c r="H19" s="870"/>
      <c r="I19" s="870"/>
      <c r="J19" s="865"/>
      <c r="K19" s="865"/>
      <c r="L19" s="865"/>
      <c r="M19" s="865"/>
      <c r="N19" s="865"/>
      <c r="O19" s="865"/>
      <c r="P19" s="865"/>
    </row>
    <row r="20" spans="2:16" s="869" customFormat="1" ht="21.75" customHeight="1" x14ac:dyDescent="0.25">
      <c r="B20" s="863"/>
      <c r="C20" s="981"/>
      <c r="D20" s="929" t="s">
        <v>4292</v>
      </c>
      <c r="E20" s="930">
        <v>1746250000</v>
      </c>
      <c r="F20" s="1029">
        <v>389351314600</v>
      </c>
      <c r="G20" s="927">
        <f t="shared" si="0"/>
        <v>0.44850240246241613</v>
      </c>
      <c r="H20" s="870"/>
      <c r="I20" s="870"/>
      <c r="J20" s="865"/>
      <c r="K20" s="865"/>
      <c r="L20" s="865"/>
      <c r="M20" s="865"/>
      <c r="N20" s="865"/>
      <c r="O20" s="865"/>
      <c r="P20" s="865"/>
    </row>
    <row r="21" spans="2:16" s="869" customFormat="1" ht="21.75" customHeight="1" x14ac:dyDescent="0.25">
      <c r="B21" s="863"/>
      <c r="C21" s="981"/>
      <c r="D21" s="933" t="s">
        <v>109</v>
      </c>
      <c r="E21" s="926">
        <v>64602800000</v>
      </c>
      <c r="F21" s="1029">
        <v>389351314600</v>
      </c>
      <c r="G21" s="927">
        <f t="shared" si="0"/>
        <v>16.592418614630766</v>
      </c>
      <c r="H21" s="870"/>
      <c r="I21" s="870"/>
      <c r="J21" s="865"/>
      <c r="K21" s="865"/>
      <c r="L21" s="865"/>
      <c r="M21" s="865"/>
      <c r="N21" s="865"/>
      <c r="O21" s="865"/>
      <c r="P21" s="865"/>
    </row>
    <row r="22" spans="2:16" s="869" customFormat="1" ht="21.75" customHeight="1" x14ac:dyDescent="0.25">
      <c r="B22" s="863"/>
      <c r="C22" s="981"/>
      <c r="D22" s="929" t="s">
        <v>110</v>
      </c>
      <c r="E22" s="930">
        <v>1245800000</v>
      </c>
      <c r="F22" s="1029">
        <v>389351314600</v>
      </c>
      <c r="G22" s="927">
        <f t="shared" si="0"/>
        <v>0.31996809906237828</v>
      </c>
      <c r="H22" s="870"/>
      <c r="I22" s="870"/>
      <c r="J22" s="865"/>
      <c r="K22" s="865"/>
      <c r="L22" s="865"/>
      <c r="M22" s="865"/>
      <c r="N22" s="865"/>
      <c r="O22" s="865"/>
      <c r="P22" s="865"/>
    </row>
    <row r="23" spans="2:16" s="869" customFormat="1" ht="21.75" customHeight="1" x14ac:dyDescent="0.25">
      <c r="B23" s="863"/>
      <c r="C23" s="981"/>
      <c r="D23" s="929" t="s">
        <v>4293</v>
      </c>
      <c r="E23" s="930">
        <v>62050000000</v>
      </c>
      <c r="F23" s="1029">
        <v>389351314600</v>
      </c>
      <c r="G23" s="927">
        <f t="shared" si="0"/>
        <v>15.936763964376762</v>
      </c>
      <c r="H23" s="870"/>
      <c r="I23" s="870"/>
      <c r="J23" s="865"/>
      <c r="K23" s="865"/>
      <c r="L23" s="865"/>
      <c r="M23" s="865"/>
      <c r="N23" s="865"/>
      <c r="O23" s="865"/>
      <c r="P23" s="865"/>
    </row>
    <row r="24" spans="2:16" s="869" customFormat="1" ht="21.75" customHeight="1" x14ac:dyDescent="0.25">
      <c r="B24" s="863"/>
      <c r="C24" s="981"/>
      <c r="D24" s="929" t="s">
        <v>4294</v>
      </c>
      <c r="E24" s="930">
        <v>1307000000</v>
      </c>
      <c r="F24" s="1029">
        <v>389351314600</v>
      </c>
      <c r="G24" s="927">
        <f t="shared" si="0"/>
        <v>0.33568655119162655</v>
      </c>
      <c r="H24" s="870"/>
      <c r="I24" s="870"/>
      <c r="J24" s="865"/>
      <c r="K24" s="865"/>
      <c r="L24" s="865"/>
      <c r="M24" s="865"/>
      <c r="N24" s="865"/>
      <c r="O24" s="865"/>
      <c r="P24" s="865"/>
    </row>
    <row r="25" spans="2:16" s="869" customFormat="1" ht="21.75" customHeight="1" x14ac:dyDescent="0.25">
      <c r="B25" s="863"/>
      <c r="C25" s="981"/>
      <c r="D25" s="933" t="s">
        <v>126</v>
      </c>
      <c r="E25" s="926">
        <v>0</v>
      </c>
      <c r="F25" s="1029">
        <v>389351314600</v>
      </c>
      <c r="G25" s="927">
        <f t="shared" si="0"/>
        <v>0</v>
      </c>
      <c r="H25" s="870"/>
      <c r="I25" s="870"/>
      <c r="J25" s="865"/>
      <c r="K25" s="865"/>
      <c r="L25" s="865"/>
      <c r="M25" s="865"/>
      <c r="N25" s="865"/>
      <c r="O25" s="865"/>
      <c r="P25" s="865"/>
    </row>
    <row r="26" spans="2:16" s="869" customFormat="1" ht="21.75" customHeight="1" x14ac:dyDescent="0.25">
      <c r="B26" s="863"/>
      <c r="C26" s="981"/>
      <c r="D26" s="929" t="s">
        <v>127</v>
      </c>
      <c r="E26" s="930">
        <v>0</v>
      </c>
      <c r="F26" s="1029">
        <v>389351314600</v>
      </c>
      <c r="G26" s="927">
        <f t="shared" si="0"/>
        <v>0</v>
      </c>
      <c r="H26" s="870"/>
      <c r="I26" s="870"/>
      <c r="J26" s="865"/>
      <c r="K26" s="865"/>
      <c r="L26" s="865"/>
      <c r="M26" s="865"/>
      <c r="N26" s="865"/>
      <c r="O26" s="865"/>
      <c r="P26" s="865"/>
    </row>
    <row r="27" spans="2:16" s="869" customFormat="1" ht="21.75" customHeight="1" x14ac:dyDescent="0.25">
      <c r="B27" s="863"/>
      <c r="C27" s="981"/>
      <c r="D27" s="933" t="s">
        <v>129</v>
      </c>
      <c r="E27" s="926">
        <v>6808567070</v>
      </c>
      <c r="F27" s="1029">
        <v>389351314600</v>
      </c>
      <c r="G27" s="927">
        <f t="shared" si="0"/>
        <v>1.7486950254668536</v>
      </c>
      <c r="H27" s="870"/>
      <c r="I27" s="870"/>
      <c r="J27" s="865"/>
      <c r="K27" s="865"/>
      <c r="L27" s="865"/>
      <c r="M27" s="865"/>
      <c r="N27" s="865"/>
      <c r="O27" s="865"/>
      <c r="P27" s="865"/>
    </row>
    <row r="28" spans="2:16" s="869" customFormat="1" ht="21.75" customHeight="1" x14ac:dyDescent="0.25">
      <c r="B28" s="863"/>
      <c r="C28" s="981"/>
      <c r="D28" s="929" t="s">
        <v>132</v>
      </c>
      <c r="E28" s="930">
        <v>6000000</v>
      </c>
      <c r="F28" s="1029">
        <v>389351314600</v>
      </c>
      <c r="G28" s="927">
        <f t="shared" si="0"/>
        <v>1.5410247185537562E-3</v>
      </c>
      <c r="H28" s="870"/>
      <c r="I28" s="870"/>
      <c r="J28" s="865"/>
      <c r="K28" s="865"/>
      <c r="L28" s="865"/>
      <c r="M28" s="865"/>
      <c r="N28" s="865"/>
      <c r="O28" s="865"/>
      <c r="P28" s="865"/>
    </row>
    <row r="29" spans="2:16" s="869" customFormat="1" ht="21.75" customHeight="1" x14ac:dyDescent="0.25">
      <c r="B29" s="863"/>
      <c r="C29" s="981"/>
      <c r="D29" s="929" t="s">
        <v>4295</v>
      </c>
      <c r="E29" s="930">
        <v>1802567070</v>
      </c>
      <c r="F29" s="1029">
        <v>389351314600</v>
      </c>
      <c r="G29" s="927">
        <f t="shared" si="0"/>
        <v>0.46296673528683652</v>
      </c>
      <c r="H29" s="870"/>
      <c r="I29" s="870"/>
      <c r="J29" s="865"/>
      <c r="K29" s="865"/>
      <c r="L29" s="865"/>
      <c r="M29" s="865"/>
      <c r="N29" s="865"/>
      <c r="O29" s="865"/>
      <c r="P29" s="865"/>
    </row>
    <row r="30" spans="2:16" s="869" customFormat="1" ht="21.75" customHeight="1" x14ac:dyDescent="0.25">
      <c r="B30" s="863"/>
      <c r="C30" s="981"/>
      <c r="D30" s="929" t="s">
        <v>4296</v>
      </c>
      <c r="E30" s="930">
        <v>5000000000</v>
      </c>
      <c r="F30" s="1029">
        <v>389351314600</v>
      </c>
      <c r="G30" s="927">
        <f t="shared" si="0"/>
        <v>1.2841872654614637</v>
      </c>
      <c r="H30" s="870"/>
      <c r="I30" s="870"/>
      <c r="J30" s="865"/>
      <c r="K30" s="865"/>
      <c r="L30" s="865"/>
      <c r="M30" s="865"/>
      <c r="N30" s="865"/>
      <c r="O30" s="865"/>
      <c r="P30" s="865"/>
    </row>
    <row r="31" spans="2:16" s="869" customFormat="1" ht="21.75" customHeight="1" x14ac:dyDescent="0.25">
      <c r="B31" s="863"/>
      <c r="C31" s="981"/>
      <c r="D31" s="933" t="s">
        <v>137</v>
      </c>
      <c r="E31" s="926">
        <v>6186200000</v>
      </c>
      <c r="F31" s="1029">
        <v>389351314600</v>
      </c>
      <c r="G31" s="927">
        <f t="shared" si="0"/>
        <v>1.5888478523195411</v>
      </c>
      <c r="H31" s="870"/>
      <c r="I31" s="870"/>
      <c r="J31" s="865"/>
      <c r="K31" s="865"/>
      <c r="L31" s="865"/>
      <c r="M31" s="865"/>
      <c r="N31" s="865"/>
      <c r="O31" s="865"/>
      <c r="P31" s="865"/>
    </row>
    <row r="32" spans="2:16" s="869" customFormat="1" ht="21.75" customHeight="1" x14ac:dyDescent="0.25">
      <c r="B32" s="863"/>
      <c r="C32" s="981"/>
      <c r="D32" s="929" t="s">
        <v>4297</v>
      </c>
      <c r="E32" s="930">
        <v>346500000</v>
      </c>
      <c r="F32" s="1029">
        <v>389351314600</v>
      </c>
      <c r="G32" s="927">
        <f t="shared" si="0"/>
        <v>8.8994177496479421E-2</v>
      </c>
      <c r="H32" s="870"/>
      <c r="I32" s="870"/>
      <c r="J32" s="865"/>
      <c r="K32" s="865"/>
      <c r="L32" s="865"/>
      <c r="M32" s="865"/>
      <c r="N32" s="865"/>
      <c r="O32" s="865"/>
      <c r="P32" s="865"/>
    </row>
    <row r="33" spans="2:16" s="869" customFormat="1" ht="21.75" customHeight="1" x14ac:dyDescent="0.25">
      <c r="B33" s="863"/>
      <c r="C33" s="981"/>
      <c r="D33" s="929" t="s">
        <v>4298</v>
      </c>
      <c r="E33" s="930">
        <v>297900000</v>
      </c>
      <c r="F33" s="1029">
        <v>389351314600</v>
      </c>
      <c r="G33" s="927">
        <f t="shared" si="0"/>
        <v>7.6511877276194004E-2</v>
      </c>
      <c r="H33" s="870"/>
      <c r="I33" s="870"/>
      <c r="J33" s="865"/>
      <c r="K33" s="865"/>
      <c r="L33" s="865"/>
      <c r="M33" s="865"/>
      <c r="N33" s="865"/>
      <c r="O33" s="865"/>
      <c r="P33" s="865"/>
    </row>
    <row r="34" spans="2:16" s="869" customFormat="1" ht="21.75" customHeight="1" x14ac:dyDescent="0.25">
      <c r="B34" s="863"/>
      <c r="C34" s="981"/>
      <c r="D34" s="929" t="s">
        <v>4299</v>
      </c>
      <c r="E34" s="930">
        <v>1165500000</v>
      </c>
      <c r="F34" s="1029">
        <v>389351314600</v>
      </c>
      <c r="G34" s="927">
        <f t="shared" si="0"/>
        <v>0.29934405157906713</v>
      </c>
      <c r="H34" s="870"/>
      <c r="I34" s="870"/>
      <c r="J34" s="865"/>
      <c r="K34" s="865"/>
      <c r="L34" s="865"/>
      <c r="M34" s="865"/>
      <c r="N34" s="865"/>
      <c r="O34" s="865"/>
      <c r="P34" s="865"/>
    </row>
    <row r="35" spans="2:16" s="869" customFormat="1" ht="21.75" customHeight="1" x14ac:dyDescent="0.25">
      <c r="B35" s="863"/>
      <c r="C35" s="981"/>
      <c r="D35" s="929" t="s">
        <v>4300</v>
      </c>
      <c r="E35" s="930">
        <v>2206000000</v>
      </c>
      <c r="F35" s="1029">
        <v>389351314600</v>
      </c>
      <c r="G35" s="927">
        <f t="shared" si="0"/>
        <v>0.56658342152159769</v>
      </c>
      <c r="H35" s="870"/>
      <c r="I35" s="870"/>
      <c r="J35" s="865"/>
      <c r="K35" s="865"/>
      <c r="L35" s="865"/>
      <c r="M35" s="865"/>
      <c r="N35" s="865"/>
      <c r="O35" s="865"/>
      <c r="P35" s="865"/>
    </row>
    <row r="36" spans="2:16" s="869" customFormat="1" ht="21.75" customHeight="1" x14ac:dyDescent="0.25">
      <c r="B36" s="863"/>
      <c r="C36" s="981"/>
      <c r="D36" s="929" t="s">
        <v>4301</v>
      </c>
      <c r="E36" s="930">
        <v>1445900000</v>
      </c>
      <c r="F36" s="1029">
        <v>389351314600</v>
      </c>
      <c r="G36" s="927">
        <f t="shared" si="0"/>
        <v>0.371361273426146</v>
      </c>
      <c r="H36" s="870"/>
      <c r="I36" s="870"/>
      <c r="J36" s="865"/>
      <c r="K36" s="865"/>
      <c r="L36" s="865"/>
      <c r="M36" s="865"/>
      <c r="N36" s="865"/>
      <c r="O36" s="865"/>
      <c r="P36" s="865"/>
    </row>
    <row r="37" spans="2:16" s="869" customFormat="1" ht="21.75" customHeight="1" x14ac:dyDescent="0.25">
      <c r="B37" s="863"/>
      <c r="C37" s="981"/>
      <c r="D37" s="929" t="s">
        <v>4302</v>
      </c>
      <c r="E37" s="930">
        <v>724400000</v>
      </c>
      <c r="F37" s="1029">
        <v>389351314600</v>
      </c>
      <c r="G37" s="927">
        <f t="shared" si="0"/>
        <v>0.18605305102005684</v>
      </c>
      <c r="H37" s="870"/>
      <c r="I37" s="870"/>
      <c r="J37" s="865"/>
      <c r="K37" s="865"/>
      <c r="L37" s="865"/>
      <c r="M37" s="865"/>
      <c r="N37" s="865"/>
      <c r="O37" s="865"/>
      <c r="P37" s="865"/>
    </row>
    <row r="38" spans="2:16" s="869" customFormat="1" ht="21.75" customHeight="1" x14ac:dyDescent="0.25">
      <c r="B38" s="863"/>
      <c r="C38" s="981"/>
      <c r="D38" s="929"/>
      <c r="E38" s="930"/>
      <c r="F38" s="1029">
        <v>389351314600</v>
      </c>
      <c r="G38" s="927">
        <f t="shared" si="0"/>
        <v>0</v>
      </c>
      <c r="H38" s="870"/>
      <c r="I38" s="870"/>
      <c r="J38" s="865"/>
      <c r="K38" s="865"/>
      <c r="L38" s="865"/>
      <c r="M38" s="865"/>
      <c r="N38" s="865"/>
      <c r="O38" s="865"/>
      <c r="P38" s="865"/>
    </row>
    <row r="39" spans="2:16" s="869" customFormat="1" ht="21.75" customHeight="1" x14ac:dyDescent="0.25">
      <c r="B39" s="863"/>
      <c r="C39" s="981"/>
      <c r="D39" s="933" t="s">
        <v>150</v>
      </c>
      <c r="E39" s="931">
        <f>+E40+E43+E45+E56+E62+E64+E70+E72+E74+E77+E89+E91+E94+E96+E100+E102+E116+E122+E125+E127</f>
        <v>69470000000</v>
      </c>
      <c r="F39" s="1029">
        <v>389351314600</v>
      </c>
      <c r="G39" s="927">
        <f t="shared" si="0"/>
        <v>17.842497866321576</v>
      </c>
      <c r="H39" s="870"/>
      <c r="I39" s="870"/>
      <c r="J39" s="865"/>
      <c r="K39" s="865"/>
      <c r="L39" s="865"/>
      <c r="M39" s="865"/>
      <c r="N39" s="865"/>
      <c r="O39" s="865"/>
      <c r="P39" s="865"/>
    </row>
    <row r="40" spans="2:16" s="869" customFormat="1" ht="21.75" customHeight="1" x14ac:dyDescent="0.25">
      <c r="B40" s="863"/>
      <c r="C40" s="981"/>
      <c r="D40" s="933" t="s">
        <v>227</v>
      </c>
      <c r="E40" s="926">
        <v>4169210000</v>
      </c>
      <c r="F40" s="1029">
        <v>389351314600</v>
      </c>
      <c r="G40" s="927">
        <f t="shared" si="0"/>
        <v>1.0708092778069178</v>
      </c>
      <c r="H40" s="870"/>
      <c r="I40" s="870"/>
      <c r="J40" s="865"/>
      <c r="K40" s="865"/>
      <c r="L40" s="865"/>
      <c r="M40" s="865"/>
      <c r="N40" s="865"/>
      <c r="O40" s="865"/>
      <c r="P40" s="865"/>
    </row>
    <row r="41" spans="2:16" s="869" customFormat="1" ht="21.75" customHeight="1" x14ac:dyDescent="0.25">
      <c r="B41" s="863"/>
      <c r="C41" s="981"/>
      <c r="D41" s="929" t="s">
        <v>228</v>
      </c>
      <c r="E41" s="930">
        <v>1624450000</v>
      </c>
      <c r="F41" s="1029">
        <v>389351314600</v>
      </c>
      <c r="G41" s="927">
        <f t="shared" si="0"/>
        <v>0.4172196006757749</v>
      </c>
      <c r="H41" s="870"/>
      <c r="I41" s="870"/>
      <c r="J41" s="865"/>
      <c r="K41" s="865"/>
      <c r="L41" s="865"/>
      <c r="M41" s="865"/>
      <c r="N41" s="865"/>
      <c r="O41" s="865"/>
      <c r="P41" s="865"/>
    </row>
    <row r="42" spans="2:16" s="869" customFormat="1" ht="21.75" customHeight="1" x14ac:dyDescent="0.25">
      <c r="B42" s="863"/>
      <c r="C42" s="981"/>
      <c r="D42" s="929" t="s">
        <v>229</v>
      </c>
      <c r="E42" s="930">
        <v>2544760000</v>
      </c>
      <c r="F42" s="1029">
        <v>389351314600</v>
      </c>
      <c r="G42" s="927">
        <f t="shared" si="0"/>
        <v>0.6535896771311428</v>
      </c>
      <c r="H42" s="870"/>
      <c r="I42" s="870"/>
      <c r="J42" s="865"/>
      <c r="K42" s="865"/>
      <c r="L42" s="865"/>
      <c r="M42" s="865"/>
      <c r="N42" s="865"/>
      <c r="O42" s="865"/>
      <c r="P42" s="865"/>
    </row>
    <row r="43" spans="2:16" s="869" customFormat="1" ht="21.75" customHeight="1" x14ac:dyDescent="0.25">
      <c r="B43" s="863"/>
      <c r="C43" s="981"/>
      <c r="D43" s="933" t="s">
        <v>151</v>
      </c>
      <c r="E43" s="926">
        <v>0</v>
      </c>
      <c r="F43" s="1029">
        <v>389351314600</v>
      </c>
      <c r="G43" s="927">
        <f t="shared" si="0"/>
        <v>0</v>
      </c>
      <c r="H43" s="870"/>
      <c r="I43" s="870"/>
      <c r="J43" s="865"/>
      <c r="K43" s="865"/>
      <c r="L43" s="865"/>
      <c r="M43" s="865"/>
      <c r="N43" s="865"/>
      <c r="O43" s="865"/>
      <c r="P43" s="865"/>
    </row>
    <row r="44" spans="2:16" s="869" customFormat="1" ht="21.75" customHeight="1" x14ac:dyDescent="0.25">
      <c r="B44" s="863"/>
      <c r="C44" s="981"/>
      <c r="D44" s="929" t="s">
        <v>152</v>
      </c>
      <c r="E44" s="930">
        <v>0</v>
      </c>
      <c r="F44" s="1029">
        <v>389351314600</v>
      </c>
      <c r="G44" s="927">
        <f t="shared" si="0"/>
        <v>0</v>
      </c>
      <c r="H44" s="870"/>
      <c r="I44" s="870"/>
      <c r="J44" s="865"/>
      <c r="K44" s="865"/>
      <c r="L44" s="865"/>
      <c r="M44" s="865"/>
      <c r="N44" s="865"/>
      <c r="O44" s="865"/>
      <c r="P44" s="865"/>
    </row>
    <row r="45" spans="2:16" s="869" customFormat="1" ht="21.75" customHeight="1" x14ac:dyDescent="0.25">
      <c r="B45" s="863"/>
      <c r="C45" s="981"/>
      <c r="D45" s="933" t="s">
        <v>156</v>
      </c>
      <c r="E45" s="926">
        <v>6745531225</v>
      </c>
      <c r="F45" s="1029">
        <v>389351314600</v>
      </c>
      <c r="G45" s="927">
        <f t="shared" si="0"/>
        <v>1.7325050595835334</v>
      </c>
      <c r="H45" s="870"/>
      <c r="I45" s="870"/>
      <c r="J45" s="865"/>
      <c r="K45" s="865"/>
      <c r="L45" s="865"/>
      <c r="M45" s="865"/>
      <c r="N45" s="865"/>
      <c r="O45" s="865"/>
      <c r="P45" s="865"/>
    </row>
    <row r="46" spans="2:16" s="869" customFormat="1" ht="21.75" customHeight="1" x14ac:dyDescent="0.25">
      <c r="B46" s="863"/>
      <c r="C46" s="981"/>
      <c r="D46" s="929" t="s">
        <v>157</v>
      </c>
      <c r="E46" s="930">
        <v>403375800</v>
      </c>
      <c r="F46" s="1029">
        <v>389351314600</v>
      </c>
      <c r="G46" s="927">
        <f t="shared" si="0"/>
        <v>0.10360201311106604</v>
      </c>
      <c r="H46" s="870"/>
      <c r="I46" s="870"/>
      <c r="J46" s="865"/>
      <c r="K46" s="865"/>
      <c r="L46" s="865"/>
      <c r="M46" s="865"/>
      <c r="N46" s="865"/>
      <c r="O46" s="865"/>
      <c r="P46" s="865"/>
    </row>
    <row r="47" spans="2:16" s="869" customFormat="1" ht="39.75" customHeight="1" x14ac:dyDescent="0.25">
      <c r="B47" s="863"/>
      <c r="C47" s="981"/>
      <c r="D47" s="929" t="s">
        <v>4303</v>
      </c>
      <c r="E47" s="930">
        <v>2300000000</v>
      </c>
      <c r="F47" s="1029">
        <v>389351314600</v>
      </c>
      <c r="G47" s="927">
        <f t="shared" si="0"/>
        <v>0.59072614211227326</v>
      </c>
      <c r="H47" s="870"/>
      <c r="I47" s="870"/>
      <c r="J47" s="865"/>
      <c r="K47" s="865"/>
      <c r="L47" s="865"/>
      <c r="M47" s="865"/>
      <c r="N47" s="865"/>
      <c r="O47" s="865"/>
      <c r="P47" s="865"/>
    </row>
    <row r="48" spans="2:16" s="869" customFormat="1" ht="21.75" customHeight="1" x14ac:dyDescent="0.25">
      <c r="B48" s="863"/>
      <c r="C48" s="981"/>
      <c r="D48" s="929" t="s">
        <v>158</v>
      </c>
      <c r="E48" s="930">
        <v>338814000</v>
      </c>
      <c r="F48" s="1029">
        <v>389351314600</v>
      </c>
      <c r="G48" s="927">
        <f t="shared" si="0"/>
        <v>8.7020124832012061E-2</v>
      </c>
      <c r="H48" s="870"/>
      <c r="I48" s="870"/>
      <c r="J48" s="865"/>
      <c r="K48" s="865"/>
      <c r="L48" s="865"/>
      <c r="M48" s="865"/>
      <c r="N48" s="865"/>
      <c r="O48" s="865"/>
      <c r="P48" s="865"/>
    </row>
    <row r="49" spans="2:16" s="869" customFormat="1" ht="21.75" customHeight="1" x14ac:dyDescent="0.25">
      <c r="B49" s="863"/>
      <c r="C49" s="981"/>
      <c r="D49" s="929" t="s">
        <v>159</v>
      </c>
      <c r="E49" s="930">
        <v>1681552000</v>
      </c>
      <c r="F49" s="1029">
        <v>389351314600</v>
      </c>
      <c r="G49" s="927">
        <f t="shared" si="0"/>
        <v>0.43188553292225096</v>
      </c>
      <c r="H49" s="870"/>
      <c r="I49" s="870"/>
      <c r="J49" s="865"/>
      <c r="K49" s="865"/>
      <c r="L49" s="865"/>
      <c r="M49" s="865"/>
      <c r="N49" s="865"/>
      <c r="O49" s="865"/>
      <c r="P49" s="865"/>
    </row>
    <row r="50" spans="2:16" s="869" customFormat="1" ht="21.75" customHeight="1" x14ac:dyDescent="0.25">
      <c r="B50" s="863"/>
      <c r="C50" s="981"/>
      <c r="D50" s="929" t="s">
        <v>160</v>
      </c>
      <c r="E50" s="930">
        <v>471779000</v>
      </c>
      <c r="F50" s="1029">
        <v>389351314600</v>
      </c>
      <c r="G50" s="927">
        <f t="shared" si="0"/>
        <v>0.12117051678242877</v>
      </c>
      <c r="H50" s="870"/>
      <c r="I50" s="870"/>
      <c r="J50" s="865"/>
      <c r="K50" s="865"/>
      <c r="L50" s="865"/>
      <c r="M50" s="865"/>
      <c r="N50" s="865"/>
      <c r="O50" s="865"/>
      <c r="P50" s="865"/>
    </row>
    <row r="51" spans="2:16" s="869" customFormat="1" ht="21.75" customHeight="1" x14ac:dyDescent="0.25">
      <c r="B51" s="863"/>
      <c r="C51" s="981"/>
      <c r="D51" s="929" t="s">
        <v>161</v>
      </c>
      <c r="E51" s="930">
        <v>488144000</v>
      </c>
      <c r="F51" s="1029">
        <v>389351314600</v>
      </c>
      <c r="G51" s="927">
        <f t="shared" si="0"/>
        <v>0.12537366170228414</v>
      </c>
      <c r="H51" s="870"/>
      <c r="I51" s="870"/>
      <c r="J51" s="865"/>
      <c r="K51" s="865"/>
      <c r="L51" s="865"/>
      <c r="M51" s="865"/>
      <c r="N51" s="865"/>
      <c r="O51" s="865"/>
      <c r="P51" s="865"/>
    </row>
    <row r="52" spans="2:16" s="869" customFormat="1" ht="21.75" customHeight="1" x14ac:dyDescent="0.25">
      <c r="B52" s="863"/>
      <c r="C52" s="981"/>
      <c r="D52" s="929" t="s">
        <v>162</v>
      </c>
      <c r="E52" s="930">
        <v>480602000</v>
      </c>
      <c r="F52" s="1029">
        <v>389351314600</v>
      </c>
      <c r="G52" s="927">
        <f t="shared" si="0"/>
        <v>0.12343659363106207</v>
      </c>
      <c r="H52" s="870"/>
      <c r="I52" s="870"/>
      <c r="J52" s="865"/>
      <c r="K52" s="865"/>
      <c r="L52" s="865"/>
      <c r="M52" s="865"/>
      <c r="N52" s="865"/>
      <c r="O52" s="865"/>
      <c r="P52" s="865"/>
    </row>
    <row r="53" spans="2:16" s="869" customFormat="1" ht="21.75" customHeight="1" x14ac:dyDescent="0.25">
      <c r="B53" s="863"/>
      <c r="C53" s="981"/>
      <c r="D53" s="929" t="s">
        <v>163</v>
      </c>
      <c r="E53" s="930">
        <v>123178800</v>
      </c>
      <c r="F53" s="1029">
        <v>389351314600</v>
      </c>
      <c r="G53" s="927">
        <f t="shared" si="0"/>
        <v>3.1636929266964903E-2</v>
      </c>
      <c r="H53" s="870"/>
      <c r="I53" s="870"/>
      <c r="J53" s="865"/>
      <c r="K53" s="865"/>
      <c r="L53" s="865"/>
      <c r="M53" s="865"/>
      <c r="N53" s="865"/>
      <c r="O53" s="865"/>
      <c r="P53" s="865"/>
    </row>
    <row r="54" spans="2:16" s="869" customFormat="1" ht="21.75" customHeight="1" x14ac:dyDescent="0.25">
      <c r="B54" s="863"/>
      <c r="C54" s="981"/>
      <c r="D54" s="929" t="s">
        <v>164</v>
      </c>
      <c r="E54" s="930">
        <v>165100000</v>
      </c>
      <c r="F54" s="1029">
        <v>389351314600</v>
      </c>
      <c r="G54" s="927">
        <f t="shared" si="0"/>
        <v>4.2403863505537528E-2</v>
      </c>
      <c r="H54" s="870"/>
      <c r="I54" s="870"/>
      <c r="J54" s="865"/>
      <c r="K54" s="865"/>
      <c r="L54" s="865"/>
      <c r="M54" s="865"/>
      <c r="N54" s="865"/>
      <c r="O54" s="865"/>
      <c r="P54" s="865"/>
    </row>
    <row r="55" spans="2:16" s="869" customFormat="1" ht="21.75" customHeight="1" x14ac:dyDescent="0.25">
      <c r="B55" s="863"/>
      <c r="C55" s="981"/>
      <c r="D55" s="929" t="s">
        <v>4304</v>
      </c>
      <c r="E55" s="930">
        <v>292985625</v>
      </c>
      <c r="F55" s="1029">
        <v>389351314600</v>
      </c>
      <c r="G55" s="927">
        <f t="shared" si="0"/>
        <v>7.524968171765356E-2</v>
      </c>
      <c r="H55" s="870"/>
      <c r="I55" s="870"/>
      <c r="J55" s="865"/>
      <c r="K55" s="865"/>
      <c r="L55" s="865"/>
      <c r="M55" s="865"/>
      <c r="N55" s="865"/>
      <c r="O55" s="865"/>
      <c r="P55" s="865"/>
    </row>
    <row r="56" spans="2:16" s="869" customFormat="1" ht="21.75" customHeight="1" x14ac:dyDescent="0.25">
      <c r="B56" s="863"/>
      <c r="C56" s="981"/>
      <c r="D56" s="933" t="s">
        <v>166</v>
      </c>
      <c r="E56" s="926">
        <v>6535791200</v>
      </c>
      <c r="F56" s="1029">
        <v>389351314600</v>
      </c>
      <c r="G56" s="927">
        <f t="shared" si="0"/>
        <v>1.6786359657510193</v>
      </c>
      <c r="H56" s="870"/>
      <c r="I56" s="870"/>
      <c r="J56" s="865"/>
      <c r="K56" s="865"/>
      <c r="L56" s="865"/>
      <c r="M56" s="865"/>
      <c r="N56" s="865"/>
      <c r="O56" s="865"/>
      <c r="P56" s="865"/>
    </row>
    <row r="57" spans="2:16" s="869" customFormat="1" ht="21.75" customHeight="1" x14ac:dyDescent="0.25">
      <c r="B57" s="863"/>
      <c r="C57" s="981"/>
      <c r="D57" s="929" t="s">
        <v>4305</v>
      </c>
      <c r="E57" s="930">
        <v>3670000000</v>
      </c>
      <c r="F57" s="1029">
        <v>389351314600</v>
      </c>
      <c r="G57" s="927">
        <f t="shared" si="0"/>
        <v>0.94259345284871421</v>
      </c>
      <c r="H57" s="870"/>
      <c r="I57" s="870"/>
      <c r="J57" s="865"/>
      <c r="K57" s="865"/>
      <c r="L57" s="865"/>
      <c r="M57" s="865"/>
      <c r="N57" s="865"/>
      <c r="O57" s="865"/>
      <c r="P57" s="865"/>
    </row>
    <row r="58" spans="2:16" s="869" customFormat="1" ht="21.75" customHeight="1" x14ac:dyDescent="0.25">
      <c r="B58" s="863"/>
      <c r="C58" s="981"/>
      <c r="D58" s="929" t="s">
        <v>4306</v>
      </c>
      <c r="E58" s="930">
        <v>1764461200</v>
      </c>
      <c r="F58" s="1029">
        <v>389351314600</v>
      </c>
      <c r="G58" s="927">
        <f t="shared" si="0"/>
        <v>0.45317972068817053</v>
      </c>
      <c r="H58" s="870"/>
      <c r="I58" s="870"/>
      <c r="J58" s="865"/>
      <c r="K58" s="865"/>
      <c r="L58" s="865"/>
      <c r="M58" s="865"/>
      <c r="N58" s="865"/>
      <c r="O58" s="865"/>
      <c r="P58" s="865"/>
    </row>
    <row r="59" spans="2:16" s="869" customFormat="1" ht="21.75" customHeight="1" x14ac:dyDescent="0.25">
      <c r="B59" s="863"/>
      <c r="C59" s="981"/>
      <c r="D59" s="929" t="s">
        <v>167</v>
      </c>
      <c r="E59" s="930">
        <v>641930000</v>
      </c>
      <c r="F59" s="1029">
        <v>389351314600</v>
      </c>
      <c r="G59" s="927">
        <f t="shared" si="0"/>
        <v>0.16487166626353544</v>
      </c>
      <c r="H59" s="870"/>
      <c r="I59" s="870"/>
      <c r="J59" s="865"/>
      <c r="K59" s="865"/>
      <c r="L59" s="865"/>
      <c r="M59" s="865"/>
      <c r="N59" s="865"/>
      <c r="O59" s="865"/>
      <c r="P59" s="865"/>
    </row>
    <row r="60" spans="2:16" s="869" customFormat="1" ht="21.75" customHeight="1" x14ac:dyDescent="0.25">
      <c r="B60" s="863"/>
      <c r="C60" s="981"/>
      <c r="D60" s="929" t="s">
        <v>4307</v>
      </c>
      <c r="E60" s="930">
        <v>284150000</v>
      </c>
      <c r="F60" s="1029">
        <v>389351314600</v>
      </c>
      <c r="G60" s="927">
        <f t="shared" si="0"/>
        <v>7.2980362296174967E-2</v>
      </c>
      <c r="H60" s="870"/>
      <c r="I60" s="870"/>
      <c r="J60" s="865"/>
      <c r="K60" s="865"/>
      <c r="L60" s="865"/>
      <c r="M60" s="865"/>
      <c r="N60" s="865"/>
      <c r="O60" s="865"/>
      <c r="P60" s="865"/>
    </row>
    <row r="61" spans="2:16" s="869" customFormat="1" ht="21.75" customHeight="1" x14ac:dyDescent="0.25">
      <c r="B61" s="863"/>
      <c r="C61" s="981"/>
      <c r="D61" s="929" t="s">
        <v>4308</v>
      </c>
      <c r="E61" s="930">
        <v>175250000</v>
      </c>
      <c r="F61" s="1029">
        <v>389351314600</v>
      </c>
      <c r="G61" s="927">
        <f t="shared" si="0"/>
        <v>4.5010763654424295E-2</v>
      </c>
      <c r="H61" s="870"/>
      <c r="I61" s="870"/>
      <c r="J61" s="865"/>
      <c r="K61" s="865"/>
      <c r="L61" s="865"/>
      <c r="M61" s="865"/>
      <c r="N61" s="865"/>
      <c r="O61" s="865"/>
      <c r="P61" s="865"/>
    </row>
    <row r="62" spans="2:16" s="869" customFormat="1" ht="21.75" customHeight="1" x14ac:dyDescent="0.25">
      <c r="B62" s="863"/>
      <c r="C62" s="981"/>
      <c r="D62" s="933" t="s">
        <v>1387</v>
      </c>
      <c r="E62" s="926">
        <v>103800000</v>
      </c>
      <c r="F62" s="1029">
        <v>389351314600</v>
      </c>
      <c r="G62" s="927">
        <f t="shared" si="0"/>
        <v>2.6659727630979985E-2</v>
      </c>
      <c r="H62" s="870"/>
      <c r="I62" s="870"/>
      <c r="J62" s="865"/>
      <c r="K62" s="865"/>
      <c r="L62" s="865"/>
      <c r="M62" s="865"/>
      <c r="N62" s="865"/>
      <c r="O62" s="865"/>
      <c r="P62" s="865"/>
    </row>
    <row r="63" spans="2:16" s="869" customFormat="1" ht="21.75" customHeight="1" x14ac:dyDescent="0.25">
      <c r="B63" s="863"/>
      <c r="C63" s="981"/>
      <c r="D63" s="929" t="s">
        <v>4309</v>
      </c>
      <c r="E63" s="930">
        <v>103800000</v>
      </c>
      <c r="F63" s="1029">
        <v>389351314600</v>
      </c>
      <c r="G63" s="927">
        <f t="shared" si="0"/>
        <v>2.6659727630979985E-2</v>
      </c>
      <c r="H63" s="870"/>
      <c r="I63" s="870"/>
      <c r="J63" s="865"/>
      <c r="K63" s="865"/>
      <c r="L63" s="865"/>
      <c r="M63" s="865"/>
      <c r="N63" s="865"/>
      <c r="O63" s="865"/>
      <c r="P63" s="865"/>
    </row>
    <row r="64" spans="2:16" s="869" customFormat="1" ht="21.75" customHeight="1" x14ac:dyDescent="0.25">
      <c r="B64" s="863"/>
      <c r="C64" s="981"/>
      <c r="D64" s="933" t="s">
        <v>168</v>
      </c>
      <c r="E64" s="926">
        <v>917473800</v>
      </c>
      <c r="F64" s="1029">
        <v>389351314600</v>
      </c>
      <c r="G64" s="927">
        <f t="shared" si="0"/>
        <v>0.23564163407090755</v>
      </c>
      <c r="H64" s="870"/>
      <c r="I64" s="870"/>
      <c r="J64" s="865"/>
      <c r="K64" s="865"/>
      <c r="L64" s="865"/>
      <c r="M64" s="865"/>
      <c r="N64" s="865"/>
      <c r="O64" s="865"/>
      <c r="P64" s="865"/>
    </row>
    <row r="65" spans="2:16" s="869" customFormat="1" ht="21.75" customHeight="1" x14ac:dyDescent="0.25">
      <c r="B65" s="863"/>
      <c r="C65" s="981"/>
      <c r="D65" s="929" t="s">
        <v>4310</v>
      </c>
      <c r="E65" s="930">
        <v>168818000</v>
      </c>
      <c r="F65" s="1029">
        <v>389351314600</v>
      </c>
      <c r="G65" s="927">
        <f t="shared" si="0"/>
        <v>4.3358785156134672E-2</v>
      </c>
      <c r="H65" s="870"/>
      <c r="I65" s="870"/>
      <c r="J65" s="865"/>
      <c r="K65" s="865"/>
      <c r="L65" s="865"/>
      <c r="M65" s="865"/>
      <c r="N65" s="865"/>
      <c r="O65" s="865"/>
      <c r="P65" s="865"/>
    </row>
    <row r="66" spans="2:16" s="869" customFormat="1" ht="21.75" customHeight="1" x14ac:dyDescent="0.25">
      <c r="B66" s="863"/>
      <c r="C66" s="981"/>
      <c r="D66" s="929" t="s">
        <v>169</v>
      </c>
      <c r="E66" s="930">
        <v>114900000</v>
      </c>
      <c r="F66" s="1029">
        <v>389351314600</v>
      </c>
      <c r="G66" s="927">
        <f t="shared" si="0"/>
        <v>2.9510623360304432E-2</v>
      </c>
      <c r="H66" s="870"/>
      <c r="I66" s="870"/>
      <c r="J66" s="865"/>
      <c r="K66" s="865"/>
      <c r="L66" s="865"/>
      <c r="M66" s="865"/>
      <c r="N66" s="865"/>
      <c r="O66" s="865"/>
      <c r="P66" s="865"/>
    </row>
    <row r="67" spans="2:16" s="869" customFormat="1" ht="21.75" customHeight="1" x14ac:dyDescent="0.25">
      <c r="B67" s="863"/>
      <c r="C67" s="981"/>
      <c r="D67" s="929" t="s">
        <v>4311</v>
      </c>
      <c r="E67" s="930">
        <v>319176000</v>
      </c>
      <c r="F67" s="1029">
        <v>389351314600</v>
      </c>
      <c r="G67" s="927">
        <f t="shared" si="0"/>
        <v>8.1976350928185615E-2</v>
      </c>
      <c r="H67" s="870"/>
      <c r="I67" s="870"/>
      <c r="J67" s="865"/>
      <c r="K67" s="865"/>
      <c r="L67" s="865"/>
      <c r="M67" s="865"/>
      <c r="N67" s="865"/>
      <c r="O67" s="865"/>
      <c r="P67" s="865"/>
    </row>
    <row r="68" spans="2:16" s="869" customFormat="1" ht="21.75" customHeight="1" x14ac:dyDescent="0.25">
      <c r="B68" s="863"/>
      <c r="C68" s="981"/>
      <c r="D68" s="929" t="s">
        <v>170</v>
      </c>
      <c r="E68" s="930">
        <v>255179800</v>
      </c>
      <c r="F68" s="1029">
        <v>389351314600</v>
      </c>
      <c r="G68" s="927">
        <f t="shared" si="0"/>
        <v>6.5539729912600639E-2</v>
      </c>
      <c r="H68" s="870"/>
      <c r="I68" s="870"/>
      <c r="J68" s="865"/>
      <c r="K68" s="865"/>
      <c r="L68" s="865"/>
      <c r="M68" s="865"/>
      <c r="N68" s="865"/>
      <c r="O68" s="865"/>
      <c r="P68" s="865"/>
    </row>
    <row r="69" spans="2:16" s="869" customFormat="1" ht="21.75" customHeight="1" x14ac:dyDescent="0.25">
      <c r="B69" s="863"/>
      <c r="C69" s="981"/>
      <c r="D69" s="929" t="s">
        <v>4312</v>
      </c>
      <c r="E69" s="930">
        <v>59400000</v>
      </c>
      <c r="F69" s="1029">
        <v>389351314600</v>
      </c>
      <c r="G69" s="927">
        <f t="shared" si="0"/>
        <v>1.5256144713682187E-2</v>
      </c>
      <c r="H69" s="870"/>
      <c r="I69" s="870"/>
      <c r="J69" s="865"/>
      <c r="K69" s="865"/>
      <c r="L69" s="865"/>
      <c r="M69" s="865"/>
      <c r="N69" s="865"/>
      <c r="O69" s="865"/>
      <c r="P69" s="865"/>
    </row>
    <row r="70" spans="2:16" s="869" customFormat="1" ht="21.75" customHeight="1" x14ac:dyDescent="0.25">
      <c r="B70" s="863"/>
      <c r="C70" s="981"/>
      <c r="D70" s="933" t="s">
        <v>175</v>
      </c>
      <c r="E70" s="926">
        <v>307897000</v>
      </c>
      <c r="F70" s="1029">
        <v>389351314600</v>
      </c>
      <c r="G70" s="927">
        <f t="shared" si="0"/>
        <v>7.9079481294757642E-2</v>
      </c>
      <c r="H70" s="870"/>
      <c r="I70" s="870"/>
      <c r="J70" s="865"/>
      <c r="K70" s="865"/>
      <c r="L70" s="865"/>
      <c r="M70" s="865"/>
      <c r="N70" s="865"/>
      <c r="O70" s="865"/>
      <c r="P70" s="865"/>
    </row>
    <row r="71" spans="2:16" s="869" customFormat="1" ht="21.75" customHeight="1" x14ac:dyDescent="0.25">
      <c r="B71" s="863"/>
      <c r="C71" s="981"/>
      <c r="D71" s="929" t="s">
        <v>176</v>
      </c>
      <c r="E71" s="930">
        <v>307897000</v>
      </c>
      <c r="F71" s="1029">
        <v>389351314600</v>
      </c>
      <c r="G71" s="927">
        <f t="shared" si="0"/>
        <v>7.9079481294757642E-2</v>
      </c>
      <c r="H71" s="870"/>
      <c r="I71" s="870"/>
      <c r="J71" s="865"/>
      <c r="K71" s="865"/>
      <c r="L71" s="865"/>
      <c r="M71" s="865"/>
      <c r="N71" s="865"/>
      <c r="O71" s="865"/>
      <c r="P71" s="865"/>
    </row>
    <row r="72" spans="2:16" s="869" customFormat="1" ht="21.75" customHeight="1" x14ac:dyDescent="0.25">
      <c r="B72" s="863"/>
      <c r="C72" s="981"/>
      <c r="D72" s="933" t="s">
        <v>177</v>
      </c>
      <c r="E72" s="926">
        <v>177600000</v>
      </c>
      <c r="F72" s="1029">
        <v>389351314600</v>
      </c>
      <c r="G72" s="927">
        <f t="shared" si="0"/>
        <v>4.5614331669191183E-2</v>
      </c>
      <c r="H72" s="870"/>
      <c r="I72" s="870"/>
      <c r="J72" s="865"/>
      <c r="K72" s="865"/>
      <c r="L72" s="865"/>
      <c r="M72" s="865"/>
      <c r="N72" s="865"/>
      <c r="O72" s="865"/>
      <c r="P72" s="865"/>
    </row>
    <row r="73" spans="2:16" s="869" customFormat="1" ht="21.75" customHeight="1" x14ac:dyDescent="0.25">
      <c r="B73" s="863"/>
      <c r="C73" s="981"/>
      <c r="D73" s="929" t="s">
        <v>178</v>
      </c>
      <c r="E73" s="930">
        <v>177600000</v>
      </c>
      <c r="F73" s="1029">
        <v>389351314600</v>
      </c>
      <c r="G73" s="927">
        <f t="shared" si="0"/>
        <v>4.5614331669191183E-2</v>
      </c>
      <c r="H73" s="870"/>
      <c r="I73" s="870"/>
      <c r="J73" s="865"/>
      <c r="K73" s="865"/>
      <c r="L73" s="865"/>
      <c r="M73" s="865"/>
      <c r="N73" s="865"/>
      <c r="O73" s="865"/>
      <c r="P73" s="865"/>
    </row>
    <row r="74" spans="2:16" s="869" customFormat="1" ht="21.75" customHeight="1" x14ac:dyDescent="0.25">
      <c r="B74" s="863"/>
      <c r="C74" s="981"/>
      <c r="D74" s="933" t="s">
        <v>179</v>
      </c>
      <c r="E74" s="926">
        <v>296775000</v>
      </c>
      <c r="F74" s="1029">
        <v>389351314600</v>
      </c>
      <c r="G74" s="927">
        <f t="shared" si="0"/>
        <v>7.6222935141465178E-2</v>
      </c>
      <c r="H74" s="870"/>
      <c r="I74" s="870"/>
      <c r="J74" s="865"/>
      <c r="K74" s="865"/>
      <c r="L74" s="865"/>
      <c r="M74" s="865"/>
      <c r="N74" s="865"/>
      <c r="O74" s="865"/>
      <c r="P74" s="865"/>
    </row>
    <row r="75" spans="2:16" s="869" customFormat="1" ht="21.75" customHeight="1" x14ac:dyDescent="0.25">
      <c r="B75" s="863"/>
      <c r="C75" s="981"/>
      <c r="D75" s="929" t="s">
        <v>180</v>
      </c>
      <c r="E75" s="930">
        <v>139525000</v>
      </c>
      <c r="F75" s="1029">
        <v>389351314600</v>
      </c>
      <c r="G75" s="927">
        <f t="shared" si="0"/>
        <v>3.5835245642702136E-2</v>
      </c>
      <c r="H75" s="870"/>
      <c r="I75" s="870"/>
      <c r="J75" s="865"/>
      <c r="K75" s="865"/>
      <c r="L75" s="865"/>
      <c r="M75" s="865"/>
      <c r="N75" s="865"/>
      <c r="O75" s="865"/>
      <c r="P75" s="865"/>
    </row>
    <row r="76" spans="2:16" s="869" customFormat="1" ht="21.75" customHeight="1" x14ac:dyDescent="0.25">
      <c r="B76" s="863"/>
      <c r="C76" s="981"/>
      <c r="D76" s="929" t="s">
        <v>181</v>
      </c>
      <c r="E76" s="930">
        <v>157250000</v>
      </c>
      <c r="F76" s="1029">
        <v>389351314600</v>
      </c>
      <c r="G76" s="927">
        <f t="shared" si="0"/>
        <v>4.0387689498763028E-2</v>
      </c>
      <c r="H76" s="870"/>
      <c r="I76" s="870"/>
      <c r="J76" s="865"/>
      <c r="K76" s="865"/>
      <c r="L76" s="865"/>
      <c r="M76" s="865"/>
      <c r="N76" s="865"/>
      <c r="O76" s="865"/>
      <c r="P76" s="865"/>
    </row>
    <row r="77" spans="2:16" s="869" customFormat="1" ht="21.75" customHeight="1" x14ac:dyDescent="0.25">
      <c r="B77" s="863"/>
      <c r="C77" s="981"/>
      <c r="D77" s="933" t="s">
        <v>182</v>
      </c>
      <c r="E77" s="926">
        <v>3796690000</v>
      </c>
      <c r="F77" s="1029">
        <v>389351314600</v>
      </c>
      <c r="G77" s="927">
        <f t="shared" si="0"/>
        <v>0.97513218978097682</v>
      </c>
      <c r="H77" s="870"/>
      <c r="I77" s="870"/>
      <c r="J77" s="865"/>
      <c r="K77" s="865"/>
      <c r="L77" s="865"/>
      <c r="M77" s="865"/>
      <c r="N77" s="865"/>
      <c r="O77" s="865"/>
      <c r="P77" s="865"/>
    </row>
    <row r="78" spans="2:16" s="869" customFormat="1" ht="21.75" customHeight="1" x14ac:dyDescent="0.25">
      <c r="B78" s="863"/>
      <c r="C78" s="981"/>
      <c r="D78" s="929" t="s">
        <v>183</v>
      </c>
      <c r="E78" s="930">
        <v>171100000</v>
      </c>
      <c r="F78" s="1029">
        <v>389351314600</v>
      </c>
      <c r="G78" s="927">
        <f t="shared" si="0"/>
        <v>4.3944888224091282E-2</v>
      </c>
      <c r="H78" s="870"/>
      <c r="I78" s="870"/>
      <c r="J78" s="865"/>
      <c r="K78" s="865"/>
      <c r="L78" s="865"/>
      <c r="M78" s="865"/>
      <c r="N78" s="865"/>
      <c r="O78" s="865"/>
      <c r="P78" s="865"/>
    </row>
    <row r="79" spans="2:16" s="869" customFormat="1" ht="21.75" customHeight="1" x14ac:dyDescent="0.25">
      <c r="B79" s="863"/>
      <c r="C79" s="981"/>
      <c r="D79" s="929" t="s">
        <v>184</v>
      </c>
      <c r="E79" s="930">
        <v>80000000</v>
      </c>
      <c r="F79" s="1029">
        <v>389351314600</v>
      </c>
      <c r="G79" s="927">
        <f t="shared" si="0"/>
        <v>2.0546996247383417E-2</v>
      </c>
      <c r="H79" s="870"/>
      <c r="I79" s="870"/>
      <c r="J79" s="865"/>
      <c r="K79" s="865"/>
      <c r="L79" s="865"/>
      <c r="M79" s="865"/>
      <c r="N79" s="865"/>
      <c r="O79" s="865"/>
      <c r="P79" s="865"/>
    </row>
    <row r="80" spans="2:16" s="869" customFormat="1" ht="21.75" customHeight="1" x14ac:dyDescent="0.25">
      <c r="B80" s="863"/>
      <c r="C80" s="981"/>
      <c r="D80" s="929" t="s">
        <v>185</v>
      </c>
      <c r="E80" s="930">
        <v>1860000000</v>
      </c>
      <c r="F80" s="1029">
        <v>389351314600</v>
      </c>
      <c r="G80" s="927">
        <f t="shared" si="0"/>
        <v>0.4777176627516645</v>
      </c>
      <c r="H80" s="870"/>
      <c r="I80" s="870"/>
      <c r="J80" s="865"/>
      <c r="K80" s="865"/>
      <c r="L80" s="865"/>
      <c r="M80" s="865"/>
      <c r="N80" s="865"/>
      <c r="O80" s="865"/>
      <c r="P80" s="865"/>
    </row>
    <row r="81" spans="2:16" s="869" customFormat="1" ht="21.75" customHeight="1" x14ac:dyDescent="0.25">
      <c r="B81" s="863"/>
      <c r="C81" s="981"/>
      <c r="D81" s="929" t="s">
        <v>186</v>
      </c>
      <c r="E81" s="930">
        <v>68400000</v>
      </c>
      <c r="F81" s="1029">
        <v>389351314600</v>
      </c>
      <c r="G81" s="927">
        <f t="shared" ref="G81:G144" si="1">E81/F81*100</f>
        <v>1.7567681791512822E-2</v>
      </c>
      <c r="H81" s="870"/>
      <c r="I81" s="870"/>
      <c r="J81" s="865"/>
      <c r="K81" s="865"/>
      <c r="L81" s="865"/>
      <c r="M81" s="865"/>
      <c r="N81" s="865"/>
      <c r="O81" s="865"/>
      <c r="P81" s="865"/>
    </row>
    <row r="82" spans="2:16" s="869" customFormat="1" ht="21.75" customHeight="1" x14ac:dyDescent="0.25">
      <c r="B82" s="863"/>
      <c r="C82" s="981"/>
      <c r="D82" s="929" t="s">
        <v>187</v>
      </c>
      <c r="E82" s="930">
        <v>153427000</v>
      </c>
      <c r="F82" s="1029">
        <v>389351314600</v>
      </c>
      <c r="G82" s="927">
        <f t="shared" si="1"/>
        <v>3.9405799915591191E-2</v>
      </c>
      <c r="H82" s="870"/>
      <c r="I82" s="870"/>
      <c r="J82" s="865"/>
      <c r="K82" s="865"/>
      <c r="L82" s="865"/>
      <c r="M82" s="865"/>
      <c r="N82" s="865"/>
      <c r="O82" s="865"/>
      <c r="P82" s="865"/>
    </row>
    <row r="83" spans="2:16" s="869" customFormat="1" ht="21.75" customHeight="1" x14ac:dyDescent="0.25">
      <c r="B83" s="863"/>
      <c r="C83" s="981"/>
      <c r="D83" s="929" t="s">
        <v>188</v>
      </c>
      <c r="E83" s="930">
        <v>50000000</v>
      </c>
      <c r="F83" s="1029">
        <v>389351314600</v>
      </c>
      <c r="G83" s="927">
        <f t="shared" si="1"/>
        <v>1.2841872654614634E-2</v>
      </c>
      <c r="H83" s="870"/>
      <c r="I83" s="870"/>
      <c r="J83" s="865"/>
      <c r="K83" s="865"/>
      <c r="L83" s="865"/>
      <c r="M83" s="865"/>
      <c r="N83" s="865"/>
      <c r="O83" s="865"/>
      <c r="P83" s="865"/>
    </row>
    <row r="84" spans="2:16" s="869" customFormat="1" ht="21.75" customHeight="1" x14ac:dyDescent="0.25">
      <c r="B84" s="863"/>
      <c r="C84" s="981"/>
      <c r="D84" s="929" t="s">
        <v>189</v>
      </c>
      <c r="E84" s="930">
        <v>880653000</v>
      </c>
      <c r="F84" s="1029">
        <v>389351314600</v>
      </c>
      <c r="G84" s="927">
        <f t="shared" si="1"/>
        <v>0.22618467357808686</v>
      </c>
      <c r="H84" s="870"/>
      <c r="I84" s="870"/>
      <c r="J84" s="865"/>
      <c r="K84" s="865"/>
      <c r="L84" s="865"/>
      <c r="M84" s="865"/>
      <c r="N84" s="865"/>
      <c r="O84" s="865"/>
      <c r="P84" s="865"/>
    </row>
    <row r="85" spans="2:16" s="869" customFormat="1" ht="21.75" customHeight="1" x14ac:dyDescent="0.25">
      <c r="B85" s="863"/>
      <c r="C85" s="981"/>
      <c r="D85" s="929" t="s">
        <v>4313</v>
      </c>
      <c r="E85" s="930">
        <v>211590000</v>
      </c>
      <c r="F85" s="1029">
        <v>389351314600</v>
      </c>
      <c r="G85" s="927">
        <f t="shared" si="1"/>
        <v>5.434423669979821E-2</v>
      </c>
      <c r="H85" s="870"/>
      <c r="I85" s="870"/>
      <c r="J85" s="865"/>
      <c r="K85" s="865"/>
      <c r="L85" s="865"/>
      <c r="M85" s="865"/>
      <c r="N85" s="865"/>
      <c r="O85" s="865"/>
      <c r="P85" s="865"/>
    </row>
    <row r="86" spans="2:16" s="869" customFormat="1" ht="21.75" customHeight="1" x14ac:dyDescent="0.25">
      <c r="B86" s="863"/>
      <c r="C86" s="981"/>
      <c r="D86" s="929" t="s">
        <v>191</v>
      </c>
      <c r="E86" s="930">
        <v>186520000</v>
      </c>
      <c r="F86" s="1029">
        <v>389351314600</v>
      </c>
      <c r="G86" s="927">
        <f t="shared" si="1"/>
        <v>4.7905321750774436E-2</v>
      </c>
      <c r="H86" s="870"/>
      <c r="I86" s="870"/>
      <c r="J86" s="865"/>
      <c r="K86" s="865"/>
      <c r="L86" s="865"/>
      <c r="M86" s="865"/>
      <c r="N86" s="865"/>
      <c r="O86" s="865"/>
      <c r="P86" s="865"/>
    </row>
    <row r="87" spans="2:16" s="869" customFormat="1" ht="21.75" customHeight="1" x14ac:dyDescent="0.25">
      <c r="B87" s="863"/>
      <c r="C87" s="981"/>
      <c r="D87" s="929" t="s">
        <v>192</v>
      </c>
      <c r="E87" s="930">
        <v>85000000</v>
      </c>
      <c r="F87" s="1029">
        <v>389351314600</v>
      </c>
      <c r="G87" s="927">
        <f t="shared" si="1"/>
        <v>2.1831183512844878E-2</v>
      </c>
      <c r="H87" s="870"/>
      <c r="I87" s="870"/>
      <c r="J87" s="865"/>
      <c r="K87" s="865"/>
      <c r="L87" s="865"/>
      <c r="M87" s="865"/>
      <c r="N87" s="865"/>
      <c r="O87" s="865"/>
      <c r="P87" s="865"/>
    </row>
    <row r="88" spans="2:16" s="869" customFormat="1" ht="21.75" customHeight="1" x14ac:dyDescent="0.25">
      <c r="B88" s="863"/>
      <c r="C88" s="981"/>
      <c r="D88" s="929" t="s">
        <v>193</v>
      </c>
      <c r="E88" s="930">
        <v>50000000</v>
      </c>
      <c r="F88" s="1029">
        <v>389351314600</v>
      </c>
      <c r="G88" s="927">
        <f t="shared" si="1"/>
        <v>1.2841872654614634E-2</v>
      </c>
      <c r="H88" s="870"/>
      <c r="I88" s="870"/>
      <c r="J88" s="865"/>
      <c r="K88" s="865"/>
      <c r="L88" s="865"/>
      <c r="M88" s="865"/>
      <c r="N88" s="865"/>
      <c r="O88" s="865"/>
      <c r="P88" s="865"/>
    </row>
    <row r="89" spans="2:16" s="869" customFormat="1" ht="21.75" customHeight="1" x14ac:dyDescent="0.25">
      <c r="B89" s="863"/>
      <c r="C89" s="981"/>
      <c r="D89" s="933" t="s">
        <v>194</v>
      </c>
      <c r="E89" s="926">
        <v>305600000</v>
      </c>
      <c r="F89" s="1029">
        <v>389351314600</v>
      </c>
      <c r="G89" s="927">
        <f t="shared" si="1"/>
        <v>7.8489525665004639E-2</v>
      </c>
      <c r="H89" s="870"/>
      <c r="I89" s="870"/>
      <c r="J89" s="865"/>
      <c r="K89" s="865"/>
      <c r="L89" s="865"/>
      <c r="M89" s="865"/>
      <c r="N89" s="865"/>
      <c r="O89" s="865"/>
      <c r="P89" s="865"/>
    </row>
    <row r="90" spans="2:16" s="869" customFormat="1" ht="21.75" customHeight="1" x14ac:dyDescent="0.25">
      <c r="B90" s="863"/>
      <c r="C90" s="981"/>
      <c r="D90" s="929" t="s">
        <v>195</v>
      </c>
      <c r="E90" s="930">
        <v>305600000</v>
      </c>
      <c r="F90" s="1029">
        <v>389351314600</v>
      </c>
      <c r="G90" s="927">
        <f t="shared" si="1"/>
        <v>7.8489525665004639E-2</v>
      </c>
      <c r="H90" s="870"/>
      <c r="I90" s="870"/>
      <c r="J90" s="865"/>
      <c r="K90" s="865"/>
      <c r="L90" s="865"/>
      <c r="M90" s="865"/>
      <c r="N90" s="865"/>
      <c r="O90" s="865"/>
      <c r="P90" s="865"/>
    </row>
    <row r="91" spans="2:16" s="869" customFormat="1" ht="21.75" customHeight="1" x14ac:dyDescent="0.25">
      <c r="B91" s="863"/>
      <c r="C91" s="981"/>
      <c r="D91" s="933" t="s">
        <v>196</v>
      </c>
      <c r="E91" s="926">
        <v>472900000</v>
      </c>
      <c r="F91" s="1029">
        <v>389351314600</v>
      </c>
      <c r="G91" s="927">
        <f t="shared" si="1"/>
        <v>0.1214584315673452</v>
      </c>
      <c r="H91" s="870"/>
      <c r="I91" s="870"/>
      <c r="J91" s="865"/>
      <c r="K91" s="865"/>
      <c r="L91" s="865"/>
      <c r="M91" s="865"/>
      <c r="N91" s="865"/>
      <c r="O91" s="865"/>
      <c r="P91" s="865"/>
    </row>
    <row r="92" spans="2:16" s="869" customFormat="1" ht="37.5" customHeight="1" x14ac:dyDescent="0.25">
      <c r="B92" s="863"/>
      <c r="C92" s="981"/>
      <c r="D92" s="929" t="s">
        <v>197</v>
      </c>
      <c r="E92" s="930">
        <v>0</v>
      </c>
      <c r="F92" s="1029">
        <v>389351314600</v>
      </c>
      <c r="G92" s="927">
        <f t="shared" si="1"/>
        <v>0</v>
      </c>
      <c r="H92" s="870"/>
      <c r="I92" s="870"/>
      <c r="J92" s="865"/>
      <c r="K92" s="865"/>
      <c r="L92" s="865"/>
      <c r="M92" s="865"/>
      <c r="N92" s="865"/>
      <c r="O92" s="865"/>
      <c r="P92" s="865"/>
    </row>
    <row r="93" spans="2:16" s="869" customFormat="1" ht="21.75" customHeight="1" x14ac:dyDescent="0.25">
      <c r="B93" s="863"/>
      <c r="C93" s="981"/>
      <c r="D93" s="929" t="s">
        <v>4314</v>
      </c>
      <c r="E93" s="930">
        <v>472900000</v>
      </c>
      <c r="F93" s="1029">
        <v>389351314600</v>
      </c>
      <c r="G93" s="927">
        <f t="shared" si="1"/>
        <v>0.1214584315673452</v>
      </c>
      <c r="H93" s="870"/>
      <c r="I93" s="870"/>
      <c r="J93" s="865"/>
      <c r="K93" s="865"/>
      <c r="L93" s="865"/>
      <c r="M93" s="865"/>
      <c r="N93" s="865"/>
      <c r="O93" s="865"/>
      <c r="P93" s="865"/>
    </row>
    <row r="94" spans="2:16" s="869" customFormat="1" ht="21.75" customHeight="1" x14ac:dyDescent="0.25">
      <c r="B94" s="863"/>
      <c r="C94" s="981"/>
      <c r="D94" s="933" t="s">
        <v>720</v>
      </c>
      <c r="E94" s="926">
        <v>142675000</v>
      </c>
      <c r="F94" s="1029">
        <v>389351314600</v>
      </c>
      <c r="G94" s="927">
        <f t="shared" si="1"/>
        <v>3.6644283619942861E-2</v>
      </c>
      <c r="H94" s="870"/>
      <c r="I94" s="870"/>
      <c r="J94" s="865"/>
      <c r="K94" s="865"/>
      <c r="L94" s="865"/>
      <c r="M94" s="865"/>
      <c r="N94" s="865"/>
      <c r="O94" s="865"/>
      <c r="P94" s="865"/>
    </row>
    <row r="95" spans="2:16" s="869" customFormat="1" ht="37.5" customHeight="1" x14ac:dyDescent="0.25">
      <c r="B95" s="863"/>
      <c r="C95" s="981"/>
      <c r="D95" s="929" t="s">
        <v>4315</v>
      </c>
      <c r="E95" s="930">
        <v>142675000</v>
      </c>
      <c r="F95" s="1029">
        <v>389351314600</v>
      </c>
      <c r="G95" s="927">
        <f t="shared" si="1"/>
        <v>3.6644283619942861E-2</v>
      </c>
      <c r="H95" s="870"/>
      <c r="I95" s="870"/>
      <c r="J95" s="865"/>
      <c r="K95" s="865"/>
      <c r="L95" s="865"/>
      <c r="M95" s="865"/>
      <c r="N95" s="865"/>
      <c r="O95" s="865"/>
      <c r="P95" s="865"/>
    </row>
    <row r="96" spans="2:16" s="869" customFormat="1" ht="21.75" customHeight="1" x14ac:dyDescent="0.25">
      <c r="B96" s="863"/>
      <c r="C96" s="981"/>
      <c r="D96" s="933" t="s">
        <v>198</v>
      </c>
      <c r="E96" s="926">
        <v>1382709960</v>
      </c>
      <c r="F96" s="1029">
        <v>389351314600</v>
      </c>
      <c r="G96" s="927">
        <f t="shared" si="1"/>
        <v>0.35513170449174591</v>
      </c>
      <c r="H96" s="870"/>
      <c r="I96" s="870"/>
      <c r="J96" s="865"/>
      <c r="K96" s="865"/>
      <c r="L96" s="865"/>
      <c r="M96" s="865"/>
      <c r="N96" s="865"/>
      <c r="O96" s="865"/>
      <c r="P96" s="865"/>
    </row>
    <row r="97" spans="2:16" s="869" customFormat="1" ht="21.75" customHeight="1" x14ac:dyDescent="0.25">
      <c r="B97" s="863"/>
      <c r="C97" s="981"/>
      <c r="D97" s="929" t="s">
        <v>4316</v>
      </c>
      <c r="E97" s="930">
        <v>292881865</v>
      </c>
      <c r="F97" s="1029">
        <v>389351314600</v>
      </c>
      <c r="G97" s="927">
        <f t="shared" si="1"/>
        <v>7.52230322635207E-2</v>
      </c>
      <c r="H97" s="870"/>
      <c r="I97" s="870"/>
      <c r="J97" s="865"/>
      <c r="K97" s="865"/>
      <c r="L97" s="865"/>
      <c r="M97" s="865"/>
      <c r="N97" s="865"/>
      <c r="O97" s="865"/>
      <c r="P97" s="865"/>
    </row>
    <row r="98" spans="2:16" s="869" customFormat="1" ht="21.75" customHeight="1" x14ac:dyDescent="0.25">
      <c r="B98" s="863"/>
      <c r="C98" s="981"/>
      <c r="D98" s="929" t="s">
        <v>199</v>
      </c>
      <c r="E98" s="930">
        <v>220771000</v>
      </c>
      <c r="F98" s="1029">
        <v>389351314600</v>
      </c>
      <c r="G98" s="927">
        <f t="shared" si="1"/>
        <v>5.6702261356638556E-2</v>
      </c>
      <c r="H98" s="870"/>
      <c r="I98" s="870"/>
      <c r="J98" s="865"/>
      <c r="K98" s="865"/>
      <c r="L98" s="865"/>
      <c r="M98" s="865"/>
      <c r="N98" s="865"/>
      <c r="O98" s="865"/>
      <c r="P98" s="865"/>
    </row>
    <row r="99" spans="2:16" s="869" customFormat="1" ht="21.75" customHeight="1" x14ac:dyDescent="0.25">
      <c r="B99" s="863"/>
      <c r="C99" s="981"/>
      <c r="D99" s="929" t="s">
        <v>200</v>
      </c>
      <c r="E99" s="930">
        <v>869057095</v>
      </c>
      <c r="F99" s="1029">
        <v>389351314600</v>
      </c>
      <c r="G99" s="927">
        <f t="shared" si="1"/>
        <v>0.22320641087158669</v>
      </c>
      <c r="H99" s="870"/>
      <c r="I99" s="870"/>
      <c r="J99" s="865"/>
      <c r="K99" s="865"/>
      <c r="L99" s="865"/>
      <c r="M99" s="865"/>
      <c r="N99" s="865"/>
      <c r="O99" s="865"/>
      <c r="P99" s="865"/>
    </row>
    <row r="100" spans="2:16" s="869" customFormat="1" ht="21.75" customHeight="1" x14ac:dyDescent="0.25">
      <c r="B100" s="863"/>
      <c r="C100" s="981"/>
      <c r="D100" s="933" t="s">
        <v>4317</v>
      </c>
      <c r="E100" s="926">
        <v>155100000</v>
      </c>
      <c r="F100" s="1029">
        <v>389351314600</v>
      </c>
      <c r="G100" s="927">
        <f t="shared" si="1"/>
        <v>3.98354889746146E-2</v>
      </c>
      <c r="H100" s="870"/>
      <c r="I100" s="870"/>
      <c r="J100" s="865"/>
      <c r="K100" s="865"/>
      <c r="L100" s="865"/>
      <c r="M100" s="865"/>
      <c r="N100" s="865"/>
      <c r="O100" s="865"/>
      <c r="P100" s="865"/>
    </row>
    <row r="101" spans="2:16" s="869" customFormat="1" ht="21.75" customHeight="1" x14ac:dyDescent="0.25">
      <c r="B101" s="863"/>
      <c r="C101" s="981"/>
      <c r="D101" s="929" t="s">
        <v>4318</v>
      </c>
      <c r="E101" s="930">
        <v>155100000</v>
      </c>
      <c r="F101" s="1029">
        <v>389351314600</v>
      </c>
      <c r="G101" s="927">
        <f t="shared" si="1"/>
        <v>3.98354889746146E-2</v>
      </c>
      <c r="H101" s="870"/>
      <c r="I101" s="870"/>
      <c r="J101" s="865"/>
      <c r="K101" s="865"/>
      <c r="L101" s="865"/>
      <c r="M101" s="865"/>
      <c r="N101" s="865"/>
      <c r="O101" s="865"/>
      <c r="P101" s="865"/>
    </row>
    <row r="102" spans="2:16" s="869" customFormat="1" ht="21.75" customHeight="1" x14ac:dyDescent="0.25">
      <c r="B102" s="863"/>
      <c r="C102" s="981"/>
      <c r="D102" s="933" t="s">
        <v>202</v>
      </c>
      <c r="E102" s="926">
        <v>31087451815</v>
      </c>
      <c r="F102" s="1029">
        <v>389351314600</v>
      </c>
      <c r="G102" s="927">
        <f t="shared" si="1"/>
        <v>7.9844219472939724</v>
      </c>
      <c r="H102" s="870"/>
      <c r="I102" s="870"/>
      <c r="J102" s="865"/>
      <c r="K102" s="865"/>
      <c r="L102" s="865"/>
      <c r="M102" s="865"/>
      <c r="N102" s="865"/>
      <c r="O102" s="865"/>
      <c r="P102" s="865"/>
    </row>
    <row r="103" spans="2:16" s="869" customFormat="1" ht="21.75" customHeight="1" x14ac:dyDescent="0.25">
      <c r="B103" s="863"/>
      <c r="C103" s="981"/>
      <c r="D103" s="929" t="s">
        <v>4319</v>
      </c>
      <c r="E103" s="930">
        <v>3299936000</v>
      </c>
      <c r="F103" s="1029">
        <v>389351314600</v>
      </c>
      <c r="G103" s="927">
        <f t="shared" si="1"/>
        <v>0.84754715760756805</v>
      </c>
      <c r="H103" s="870"/>
      <c r="I103" s="870"/>
      <c r="J103" s="865"/>
      <c r="K103" s="865"/>
      <c r="L103" s="865"/>
      <c r="M103" s="865"/>
      <c r="N103" s="865"/>
      <c r="O103" s="865"/>
      <c r="P103" s="865"/>
    </row>
    <row r="104" spans="2:16" s="869" customFormat="1" ht="21.75" customHeight="1" x14ac:dyDescent="0.25">
      <c r="B104" s="863"/>
      <c r="C104" s="981"/>
      <c r="D104" s="929" t="s">
        <v>4320</v>
      </c>
      <c r="E104" s="930">
        <v>1203546815</v>
      </c>
      <c r="F104" s="1029">
        <v>389351314600</v>
      </c>
      <c r="G104" s="927">
        <f t="shared" si="1"/>
        <v>0.30911589864194078</v>
      </c>
      <c r="H104" s="870"/>
      <c r="I104" s="870"/>
      <c r="J104" s="865"/>
      <c r="K104" s="865"/>
      <c r="L104" s="865"/>
      <c r="M104" s="865"/>
      <c r="N104" s="865"/>
      <c r="O104" s="865"/>
      <c r="P104" s="865"/>
    </row>
    <row r="105" spans="2:16" s="869" customFormat="1" ht="21.75" customHeight="1" x14ac:dyDescent="0.25">
      <c r="B105" s="863"/>
      <c r="C105" s="981"/>
      <c r="D105" s="929" t="s">
        <v>205</v>
      </c>
      <c r="E105" s="930">
        <v>300000000</v>
      </c>
      <c r="F105" s="1029">
        <v>389351314600</v>
      </c>
      <c r="G105" s="927">
        <f t="shared" si="1"/>
        <v>7.7051235927687811E-2</v>
      </c>
      <c r="H105" s="870"/>
      <c r="I105" s="870"/>
      <c r="J105" s="865"/>
      <c r="K105" s="865"/>
      <c r="L105" s="865"/>
      <c r="M105" s="865"/>
      <c r="N105" s="865"/>
      <c r="O105" s="865"/>
      <c r="P105" s="865"/>
    </row>
    <row r="106" spans="2:16" s="869" customFormat="1" ht="21.75" customHeight="1" x14ac:dyDescent="0.25">
      <c r="B106" s="863"/>
      <c r="C106" s="981"/>
      <c r="D106" s="929" t="s">
        <v>4321</v>
      </c>
      <c r="E106" s="930">
        <v>120000000</v>
      </c>
      <c r="F106" s="1029">
        <v>389351314600</v>
      </c>
      <c r="G106" s="927">
        <f t="shared" si="1"/>
        <v>3.0820494371075122E-2</v>
      </c>
      <c r="H106" s="870"/>
      <c r="I106" s="870"/>
      <c r="J106" s="865"/>
      <c r="K106" s="865"/>
      <c r="L106" s="865"/>
      <c r="M106" s="865"/>
      <c r="N106" s="865"/>
      <c r="O106" s="865"/>
      <c r="P106" s="865"/>
    </row>
    <row r="107" spans="2:16" s="869" customFormat="1" ht="39.75" customHeight="1" x14ac:dyDescent="0.25">
      <c r="B107" s="863"/>
      <c r="C107" s="981"/>
      <c r="D107" s="929" t="s">
        <v>206</v>
      </c>
      <c r="E107" s="930">
        <v>200000000</v>
      </c>
      <c r="F107" s="1029">
        <v>389351314600</v>
      </c>
      <c r="G107" s="927">
        <f t="shared" si="1"/>
        <v>5.1367490618458536E-2</v>
      </c>
      <c r="H107" s="870"/>
      <c r="I107" s="870"/>
      <c r="J107" s="865"/>
      <c r="K107" s="865"/>
      <c r="L107" s="865"/>
      <c r="M107" s="865"/>
      <c r="N107" s="865"/>
      <c r="O107" s="865"/>
      <c r="P107" s="865"/>
    </row>
    <row r="108" spans="2:16" s="869" customFormat="1" ht="39.75" customHeight="1" x14ac:dyDescent="0.25">
      <c r="B108" s="863"/>
      <c r="C108" s="981"/>
      <c r="D108" s="929" t="s">
        <v>207</v>
      </c>
      <c r="E108" s="930">
        <v>8000000000</v>
      </c>
      <c r="F108" s="1029">
        <v>389351314600</v>
      </c>
      <c r="G108" s="927">
        <f t="shared" si="1"/>
        <v>2.0546996247383418</v>
      </c>
      <c r="H108" s="870"/>
      <c r="I108" s="870"/>
      <c r="J108" s="865"/>
      <c r="K108" s="865"/>
      <c r="L108" s="865"/>
      <c r="M108" s="865"/>
      <c r="N108" s="865"/>
      <c r="O108" s="865"/>
      <c r="P108" s="865"/>
    </row>
    <row r="109" spans="2:16" s="869" customFormat="1" ht="21.75" customHeight="1" x14ac:dyDescent="0.25">
      <c r="B109" s="863"/>
      <c r="C109" s="981"/>
      <c r="D109" s="929" t="s">
        <v>208</v>
      </c>
      <c r="E109" s="930">
        <v>13674869000</v>
      </c>
      <c r="F109" s="1029">
        <v>389351314600</v>
      </c>
      <c r="G109" s="927">
        <f t="shared" si="1"/>
        <v>3.5122185253307481</v>
      </c>
      <c r="H109" s="870"/>
      <c r="I109" s="870"/>
      <c r="J109" s="865"/>
      <c r="K109" s="865"/>
      <c r="L109" s="865"/>
      <c r="M109" s="865"/>
      <c r="N109" s="865"/>
      <c r="O109" s="865"/>
      <c r="P109" s="865"/>
    </row>
    <row r="110" spans="2:16" s="869" customFormat="1" ht="21.75" customHeight="1" x14ac:dyDescent="0.25">
      <c r="B110" s="863"/>
      <c r="C110" s="981"/>
      <c r="D110" s="929" t="s">
        <v>4322</v>
      </c>
      <c r="E110" s="930">
        <v>325000000</v>
      </c>
      <c r="F110" s="1029">
        <v>389351314600</v>
      </c>
      <c r="G110" s="927">
        <f t="shared" si="1"/>
        <v>8.347217225499512E-2</v>
      </c>
      <c r="H110" s="870"/>
      <c r="I110" s="870"/>
      <c r="J110" s="865"/>
      <c r="K110" s="865"/>
      <c r="L110" s="865"/>
      <c r="M110" s="865"/>
      <c r="N110" s="865"/>
      <c r="O110" s="865"/>
      <c r="P110" s="865"/>
    </row>
    <row r="111" spans="2:16" s="869" customFormat="1" ht="21.75" customHeight="1" x14ac:dyDescent="0.25">
      <c r="B111" s="863"/>
      <c r="C111" s="981"/>
      <c r="D111" s="929" t="s">
        <v>209</v>
      </c>
      <c r="E111" s="930">
        <v>2860000000</v>
      </c>
      <c r="F111" s="1029">
        <v>389351314600</v>
      </c>
      <c r="G111" s="927">
        <f t="shared" si="1"/>
        <v>0.73455511584395705</v>
      </c>
      <c r="H111" s="870"/>
      <c r="I111" s="870"/>
      <c r="J111" s="865"/>
      <c r="K111" s="865"/>
      <c r="L111" s="865"/>
      <c r="M111" s="865"/>
      <c r="N111" s="865"/>
      <c r="O111" s="865"/>
      <c r="P111" s="865"/>
    </row>
    <row r="112" spans="2:16" s="869" customFormat="1" ht="21.75" customHeight="1" x14ac:dyDescent="0.25">
      <c r="B112" s="863"/>
      <c r="C112" s="981"/>
      <c r="D112" s="929" t="s">
        <v>4323</v>
      </c>
      <c r="E112" s="930">
        <v>0</v>
      </c>
      <c r="F112" s="1029">
        <v>389351314600</v>
      </c>
      <c r="G112" s="927">
        <f t="shared" si="1"/>
        <v>0</v>
      </c>
      <c r="H112" s="870"/>
      <c r="I112" s="870"/>
      <c r="J112" s="865"/>
      <c r="K112" s="865"/>
      <c r="L112" s="865"/>
      <c r="M112" s="865"/>
      <c r="N112" s="865"/>
      <c r="O112" s="865"/>
      <c r="P112" s="865"/>
    </row>
    <row r="113" spans="2:16" s="869" customFormat="1" ht="21.75" customHeight="1" x14ac:dyDescent="0.25">
      <c r="B113" s="863"/>
      <c r="C113" s="981"/>
      <c r="D113" s="929" t="s">
        <v>4324</v>
      </c>
      <c r="E113" s="930">
        <v>0</v>
      </c>
      <c r="F113" s="1029">
        <v>389351314600</v>
      </c>
      <c r="G113" s="927">
        <f t="shared" si="1"/>
        <v>0</v>
      </c>
      <c r="H113" s="870"/>
      <c r="I113" s="870"/>
      <c r="J113" s="865"/>
      <c r="K113" s="865"/>
      <c r="L113" s="865"/>
      <c r="M113" s="865"/>
      <c r="N113" s="865"/>
      <c r="O113" s="865"/>
      <c r="P113" s="865"/>
    </row>
    <row r="114" spans="2:16" s="869" customFormat="1" ht="21.75" customHeight="1" x14ac:dyDescent="0.25">
      <c r="B114" s="863"/>
      <c r="C114" s="981"/>
      <c r="D114" s="929" t="s">
        <v>210</v>
      </c>
      <c r="E114" s="930">
        <v>754100000</v>
      </c>
      <c r="F114" s="1029">
        <v>389351314600</v>
      </c>
      <c r="G114" s="927">
        <f t="shared" si="1"/>
        <v>0.19368112337689794</v>
      </c>
      <c r="H114" s="870"/>
      <c r="I114" s="870"/>
      <c r="J114" s="865"/>
      <c r="K114" s="865"/>
      <c r="L114" s="865"/>
      <c r="M114" s="865"/>
      <c r="N114" s="865"/>
      <c r="O114" s="865"/>
      <c r="P114" s="865"/>
    </row>
    <row r="115" spans="2:16" s="869" customFormat="1" ht="21.75" customHeight="1" x14ac:dyDescent="0.25">
      <c r="B115" s="863"/>
      <c r="C115" s="981"/>
      <c r="D115" s="929" t="s">
        <v>4325</v>
      </c>
      <c r="E115" s="930">
        <v>350000000</v>
      </c>
      <c r="F115" s="1029">
        <v>389351314600</v>
      </c>
      <c r="G115" s="927">
        <f t="shared" si="1"/>
        <v>8.9893108582302442E-2</v>
      </c>
      <c r="H115" s="870"/>
      <c r="I115" s="870"/>
      <c r="J115" s="865"/>
      <c r="K115" s="865"/>
      <c r="L115" s="865"/>
      <c r="M115" s="865"/>
      <c r="N115" s="865"/>
      <c r="O115" s="865"/>
      <c r="P115" s="865"/>
    </row>
    <row r="116" spans="2:16" s="869" customFormat="1" ht="21.75" customHeight="1" x14ac:dyDescent="0.25">
      <c r="B116" s="863"/>
      <c r="C116" s="981"/>
      <c r="D116" s="933" t="s">
        <v>213</v>
      </c>
      <c r="E116" s="926">
        <v>10402675000</v>
      </c>
      <c r="F116" s="1029">
        <v>389351314600</v>
      </c>
      <c r="G116" s="927">
        <f t="shared" si="1"/>
        <v>2.6717965523468661</v>
      </c>
      <c r="H116" s="870"/>
      <c r="I116" s="870"/>
      <c r="J116" s="865"/>
      <c r="K116" s="865"/>
      <c r="L116" s="865"/>
      <c r="M116" s="865"/>
      <c r="N116" s="865"/>
      <c r="O116" s="865"/>
      <c r="P116" s="865"/>
    </row>
    <row r="117" spans="2:16" s="869" customFormat="1" ht="21.75" customHeight="1" x14ac:dyDescent="0.25">
      <c r="B117" s="863"/>
      <c r="C117" s="981"/>
      <c r="D117" s="929" t="s">
        <v>4326</v>
      </c>
      <c r="E117" s="930">
        <v>2170500000</v>
      </c>
      <c r="F117" s="1029">
        <v>389351314600</v>
      </c>
      <c r="G117" s="927">
        <f t="shared" si="1"/>
        <v>0.55746569193682138</v>
      </c>
      <c r="H117" s="870"/>
      <c r="I117" s="870"/>
      <c r="J117" s="865"/>
      <c r="K117" s="865"/>
      <c r="L117" s="865"/>
      <c r="M117" s="865"/>
      <c r="N117" s="865"/>
      <c r="O117" s="865"/>
      <c r="P117" s="865"/>
    </row>
    <row r="118" spans="2:16" s="869" customFormat="1" ht="21.75" customHeight="1" x14ac:dyDescent="0.25">
      <c r="B118" s="863"/>
      <c r="C118" s="981"/>
      <c r="D118" s="929" t="s">
        <v>214</v>
      </c>
      <c r="E118" s="930">
        <v>5842230000</v>
      </c>
      <c r="F118" s="1029">
        <v>389351314600</v>
      </c>
      <c r="G118" s="927">
        <f t="shared" si="1"/>
        <v>1.5005034735793852</v>
      </c>
      <c r="H118" s="870"/>
      <c r="I118" s="870"/>
      <c r="J118" s="865"/>
      <c r="K118" s="865"/>
      <c r="L118" s="865"/>
      <c r="M118" s="865"/>
      <c r="N118" s="865"/>
      <c r="O118" s="865"/>
      <c r="P118" s="865"/>
    </row>
    <row r="119" spans="2:16" s="869" customFormat="1" ht="21.75" customHeight="1" x14ac:dyDescent="0.25">
      <c r="B119" s="863"/>
      <c r="C119" s="981"/>
      <c r="D119" s="929" t="s">
        <v>215</v>
      </c>
      <c r="E119" s="930">
        <v>593500000</v>
      </c>
      <c r="F119" s="1029">
        <v>389351314600</v>
      </c>
      <c r="G119" s="927">
        <f t="shared" si="1"/>
        <v>0.1524330284102757</v>
      </c>
      <c r="H119" s="870"/>
      <c r="I119" s="870"/>
      <c r="J119" s="865"/>
      <c r="K119" s="865"/>
      <c r="L119" s="865"/>
      <c r="M119" s="865"/>
      <c r="N119" s="865"/>
      <c r="O119" s="865"/>
      <c r="P119" s="865"/>
    </row>
    <row r="120" spans="2:16" s="869" customFormat="1" ht="21.75" customHeight="1" x14ac:dyDescent="0.25">
      <c r="B120" s="863"/>
      <c r="C120" s="981"/>
      <c r="D120" s="929" t="s">
        <v>216</v>
      </c>
      <c r="E120" s="930">
        <v>1400320000</v>
      </c>
      <c r="F120" s="1029">
        <v>389351314600</v>
      </c>
      <c r="G120" s="927">
        <f t="shared" si="1"/>
        <v>0.35965462231419931</v>
      </c>
      <c r="H120" s="870"/>
      <c r="I120" s="870"/>
      <c r="J120" s="865"/>
      <c r="K120" s="865"/>
      <c r="L120" s="865"/>
      <c r="M120" s="865"/>
      <c r="N120" s="865"/>
      <c r="O120" s="865"/>
      <c r="P120" s="865"/>
    </row>
    <row r="121" spans="2:16" s="869" customFormat="1" ht="21.75" customHeight="1" x14ac:dyDescent="0.25">
      <c r="B121" s="863"/>
      <c r="C121" s="981"/>
      <c r="D121" s="929" t="s">
        <v>4327</v>
      </c>
      <c r="E121" s="930">
        <v>396125000</v>
      </c>
      <c r="F121" s="1029">
        <v>389351314600</v>
      </c>
      <c r="G121" s="927">
        <f t="shared" si="1"/>
        <v>0.10173973610618445</v>
      </c>
      <c r="H121" s="870"/>
      <c r="I121" s="870"/>
      <c r="J121" s="865"/>
      <c r="K121" s="865"/>
      <c r="L121" s="865"/>
      <c r="M121" s="865"/>
      <c r="N121" s="865"/>
      <c r="O121" s="865"/>
      <c r="P121" s="865"/>
    </row>
    <row r="122" spans="2:16" s="869" customFormat="1" ht="21.75" customHeight="1" x14ac:dyDescent="0.25">
      <c r="B122" s="863"/>
      <c r="C122" s="981"/>
      <c r="D122" s="933" t="s">
        <v>217</v>
      </c>
      <c r="E122" s="926">
        <v>790500000</v>
      </c>
      <c r="F122" s="1029">
        <v>389351314600</v>
      </c>
      <c r="G122" s="927">
        <f t="shared" si="1"/>
        <v>0.20303000666945739</v>
      </c>
      <c r="H122" s="870"/>
      <c r="I122" s="870"/>
      <c r="J122" s="865"/>
      <c r="K122" s="865"/>
      <c r="L122" s="865"/>
      <c r="M122" s="865"/>
      <c r="N122" s="865"/>
      <c r="O122" s="865"/>
      <c r="P122" s="865"/>
    </row>
    <row r="123" spans="2:16" s="869" customFormat="1" ht="21.75" customHeight="1" x14ac:dyDescent="0.25">
      <c r="B123" s="863"/>
      <c r="C123" s="981"/>
      <c r="D123" s="929" t="s">
        <v>218</v>
      </c>
      <c r="E123" s="930">
        <v>331468001</v>
      </c>
      <c r="F123" s="1029">
        <v>389351314600</v>
      </c>
      <c r="G123" s="927">
        <f t="shared" si="1"/>
        <v>8.513339715843353E-2</v>
      </c>
      <c r="H123" s="870"/>
      <c r="I123" s="870"/>
      <c r="J123" s="865"/>
      <c r="K123" s="865"/>
      <c r="L123" s="865"/>
      <c r="M123" s="865"/>
      <c r="N123" s="865"/>
      <c r="O123" s="865"/>
      <c r="P123" s="865"/>
    </row>
    <row r="124" spans="2:16" s="869" customFormat="1" ht="21.75" customHeight="1" x14ac:dyDescent="0.25">
      <c r="B124" s="863"/>
      <c r="C124" s="981"/>
      <c r="D124" s="929" t="s">
        <v>219</v>
      </c>
      <c r="E124" s="930">
        <v>459031999</v>
      </c>
      <c r="F124" s="1029">
        <v>389351314600</v>
      </c>
      <c r="G124" s="927">
        <f t="shared" si="1"/>
        <v>0.11789660951102385</v>
      </c>
      <c r="H124" s="870"/>
      <c r="I124" s="870"/>
      <c r="J124" s="865"/>
      <c r="K124" s="865"/>
      <c r="L124" s="865"/>
      <c r="M124" s="865"/>
      <c r="N124" s="865"/>
      <c r="O124" s="865"/>
      <c r="P124" s="865"/>
    </row>
    <row r="125" spans="2:16" s="869" customFormat="1" ht="21.75" customHeight="1" x14ac:dyDescent="0.25">
      <c r="B125" s="863"/>
      <c r="C125" s="981"/>
      <c r="D125" s="933" t="s">
        <v>221</v>
      </c>
      <c r="E125" s="926">
        <v>100000000</v>
      </c>
      <c r="F125" s="1029">
        <v>389351314600</v>
      </c>
      <c r="G125" s="927">
        <f t="shared" si="1"/>
        <v>2.5683745309229268E-2</v>
      </c>
      <c r="H125" s="870"/>
      <c r="I125" s="870"/>
      <c r="J125" s="865"/>
      <c r="K125" s="865"/>
      <c r="L125" s="865"/>
      <c r="M125" s="865"/>
      <c r="N125" s="865"/>
      <c r="O125" s="865"/>
      <c r="P125" s="865"/>
    </row>
    <row r="126" spans="2:16" s="869" customFormat="1" ht="21.75" customHeight="1" x14ac:dyDescent="0.25">
      <c r="B126" s="863"/>
      <c r="C126" s="981"/>
      <c r="D126" s="929" t="s">
        <v>253</v>
      </c>
      <c r="E126" s="930">
        <v>100000000</v>
      </c>
      <c r="F126" s="1029">
        <v>389351314600</v>
      </c>
      <c r="G126" s="927">
        <f t="shared" si="1"/>
        <v>2.5683745309229268E-2</v>
      </c>
      <c r="H126" s="870"/>
      <c r="I126" s="870"/>
      <c r="J126" s="865"/>
      <c r="K126" s="865"/>
      <c r="L126" s="865"/>
      <c r="M126" s="865"/>
      <c r="N126" s="865"/>
      <c r="O126" s="865"/>
      <c r="P126" s="865"/>
    </row>
    <row r="127" spans="2:16" s="869" customFormat="1" ht="21.75" customHeight="1" x14ac:dyDescent="0.25">
      <c r="B127" s="863"/>
      <c r="C127" s="981"/>
      <c r="D127" s="933" t="s">
        <v>223</v>
      </c>
      <c r="E127" s="926">
        <v>1579620000</v>
      </c>
      <c r="F127" s="1029">
        <v>389351314600</v>
      </c>
      <c r="G127" s="927">
        <f t="shared" si="1"/>
        <v>0.40570557765364745</v>
      </c>
      <c r="H127" s="870"/>
      <c r="I127" s="870"/>
      <c r="J127" s="865"/>
      <c r="K127" s="865"/>
      <c r="L127" s="865"/>
      <c r="M127" s="865"/>
      <c r="N127" s="865"/>
      <c r="O127" s="865"/>
      <c r="P127" s="865"/>
    </row>
    <row r="128" spans="2:16" s="869" customFormat="1" ht="21.75" customHeight="1" x14ac:dyDescent="0.25">
      <c r="B128" s="863"/>
      <c r="C128" s="981"/>
      <c r="D128" s="929" t="s">
        <v>224</v>
      </c>
      <c r="E128" s="930">
        <v>301330000</v>
      </c>
      <c r="F128" s="1029">
        <v>389351314600</v>
      </c>
      <c r="G128" s="927">
        <f t="shared" si="1"/>
        <v>7.7392829740300567E-2</v>
      </c>
      <c r="H128" s="870"/>
      <c r="I128" s="870"/>
      <c r="J128" s="865"/>
      <c r="K128" s="865"/>
      <c r="L128" s="865"/>
      <c r="M128" s="865"/>
      <c r="N128" s="865"/>
      <c r="O128" s="865"/>
      <c r="P128" s="865"/>
    </row>
    <row r="129" spans="2:16" s="869" customFormat="1" ht="21.75" customHeight="1" x14ac:dyDescent="0.25">
      <c r="B129" s="863"/>
      <c r="C129" s="981"/>
      <c r="D129" s="929" t="s">
        <v>4328</v>
      </c>
      <c r="E129" s="930">
        <v>249750000</v>
      </c>
      <c r="F129" s="1029">
        <v>389351314600</v>
      </c>
      <c r="G129" s="927">
        <f t="shared" si="1"/>
        <v>6.4145153909800107E-2</v>
      </c>
      <c r="H129" s="870"/>
      <c r="I129" s="870"/>
      <c r="J129" s="865"/>
      <c r="K129" s="865"/>
      <c r="L129" s="865"/>
      <c r="M129" s="865"/>
      <c r="N129" s="865"/>
      <c r="O129" s="865"/>
      <c r="P129" s="865"/>
    </row>
    <row r="130" spans="2:16" s="869" customFormat="1" ht="21.75" customHeight="1" x14ac:dyDescent="0.25">
      <c r="B130" s="863"/>
      <c r="C130" s="981"/>
      <c r="D130" s="929" t="s">
        <v>4329</v>
      </c>
      <c r="E130" s="930">
        <v>782190000</v>
      </c>
      <c r="F130" s="1029">
        <v>389351314600</v>
      </c>
      <c r="G130" s="927">
        <f t="shared" si="1"/>
        <v>0.20089568743426045</v>
      </c>
      <c r="H130" s="870"/>
      <c r="I130" s="870"/>
      <c r="J130" s="865"/>
      <c r="K130" s="865"/>
      <c r="L130" s="865"/>
      <c r="M130" s="865"/>
      <c r="N130" s="865"/>
      <c r="O130" s="865"/>
      <c r="P130" s="865"/>
    </row>
    <row r="131" spans="2:16" s="869" customFormat="1" ht="21.75" customHeight="1" x14ac:dyDescent="0.25">
      <c r="B131" s="863"/>
      <c r="C131" s="981"/>
      <c r="D131" s="929" t="s">
        <v>4330</v>
      </c>
      <c r="E131" s="930">
        <v>246350000</v>
      </c>
      <c r="F131" s="1029">
        <v>389351314600</v>
      </c>
      <c r="G131" s="927">
        <f t="shared" si="1"/>
        <v>6.3271906569286301E-2</v>
      </c>
      <c r="H131" s="870"/>
      <c r="I131" s="870"/>
      <c r="J131" s="865"/>
      <c r="K131" s="865"/>
      <c r="L131" s="865"/>
      <c r="M131" s="865"/>
      <c r="N131" s="865"/>
      <c r="O131" s="865"/>
      <c r="P131" s="865"/>
    </row>
    <row r="132" spans="2:16" s="869" customFormat="1" ht="21.75" customHeight="1" x14ac:dyDescent="0.25">
      <c r="B132" s="863"/>
      <c r="C132" s="981"/>
      <c r="D132" s="929"/>
      <c r="E132" s="930"/>
      <c r="F132" s="1029">
        <v>389351314600</v>
      </c>
      <c r="G132" s="927">
        <f t="shared" si="1"/>
        <v>0</v>
      </c>
      <c r="H132" s="870"/>
      <c r="I132" s="870"/>
      <c r="J132" s="865"/>
      <c r="K132" s="865"/>
      <c r="L132" s="865"/>
      <c r="M132" s="865"/>
      <c r="N132" s="865"/>
      <c r="O132" s="865"/>
      <c r="P132" s="865"/>
    </row>
    <row r="133" spans="2:16" s="869" customFormat="1" ht="21.75" customHeight="1" x14ac:dyDescent="0.25">
      <c r="B133" s="863"/>
      <c r="C133" s="981"/>
      <c r="D133" s="964" t="s">
        <v>1766</v>
      </c>
      <c r="E133" s="931">
        <f>+E134+E137+E141+E143+E145</f>
        <v>8000000000</v>
      </c>
      <c r="F133" s="1029">
        <v>389351314600</v>
      </c>
      <c r="G133" s="927">
        <f t="shared" si="1"/>
        <v>2.0546996247383418</v>
      </c>
      <c r="H133" s="870"/>
      <c r="I133" s="870"/>
      <c r="J133" s="865"/>
      <c r="K133" s="865"/>
      <c r="L133" s="865"/>
      <c r="M133" s="865"/>
      <c r="N133" s="865"/>
      <c r="O133" s="865"/>
      <c r="P133" s="865"/>
    </row>
    <row r="134" spans="2:16" s="869" customFormat="1" ht="21.75" customHeight="1" x14ac:dyDescent="0.25">
      <c r="B134" s="863"/>
      <c r="C134" s="981"/>
      <c r="D134" s="933" t="s">
        <v>330</v>
      </c>
      <c r="E134" s="926">
        <v>1500000000</v>
      </c>
      <c r="F134" s="1029">
        <v>389351314600</v>
      </c>
      <c r="G134" s="927">
        <f t="shared" si="1"/>
        <v>0.38525617963843906</v>
      </c>
      <c r="H134" s="870"/>
      <c r="I134" s="870"/>
      <c r="J134" s="865"/>
      <c r="K134" s="865"/>
      <c r="L134" s="865"/>
      <c r="M134" s="865"/>
      <c r="N134" s="865"/>
      <c r="O134" s="865"/>
      <c r="P134" s="865"/>
    </row>
    <row r="135" spans="2:16" s="869" customFormat="1" ht="38.25" customHeight="1" x14ac:dyDescent="0.25">
      <c r="B135" s="863"/>
      <c r="C135" s="981"/>
      <c r="D135" s="929" t="s">
        <v>331</v>
      </c>
      <c r="E135" s="930">
        <v>1200000000</v>
      </c>
      <c r="F135" s="1029">
        <v>389351314600</v>
      </c>
      <c r="G135" s="927">
        <f t="shared" si="1"/>
        <v>0.30820494371075124</v>
      </c>
      <c r="H135" s="870"/>
      <c r="I135" s="870"/>
      <c r="J135" s="865"/>
      <c r="K135" s="865"/>
      <c r="L135" s="865"/>
      <c r="M135" s="865"/>
      <c r="N135" s="865"/>
      <c r="O135" s="865"/>
      <c r="P135" s="865"/>
    </row>
    <row r="136" spans="2:16" s="869" customFormat="1" ht="21.75" customHeight="1" x14ac:dyDescent="0.25">
      <c r="B136" s="863"/>
      <c r="C136" s="981"/>
      <c r="D136" s="929" t="s">
        <v>332</v>
      </c>
      <c r="E136" s="930">
        <v>300000000</v>
      </c>
      <c r="F136" s="1029">
        <v>389351314600</v>
      </c>
      <c r="G136" s="927">
        <f t="shared" si="1"/>
        <v>7.7051235927687811E-2</v>
      </c>
      <c r="H136" s="870"/>
      <c r="I136" s="870"/>
      <c r="J136" s="865"/>
      <c r="K136" s="865"/>
      <c r="L136" s="865"/>
      <c r="M136" s="865"/>
      <c r="N136" s="865"/>
      <c r="O136" s="865"/>
      <c r="P136" s="865"/>
    </row>
    <row r="137" spans="2:16" s="869" customFormat="1" ht="21.75" customHeight="1" x14ac:dyDescent="0.25">
      <c r="B137" s="863"/>
      <c r="C137" s="981"/>
      <c r="D137" s="933" t="s">
        <v>335</v>
      </c>
      <c r="E137" s="926">
        <v>3364500000</v>
      </c>
      <c r="F137" s="1029">
        <v>389351314600</v>
      </c>
      <c r="G137" s="927">
        <f t="shared" si="1"/>
        <v>0.86412961092901874</v>
      </c>
      <c r="H137" s="870"/>
      <c r="I137" s="870"/>
      <c r="J137" s="865"/>
      <c r="K137" s="865"/>
      <c r="L137" s="865"/>
      <c r="M137" s="865"/>
      <c r="N137" s="865"/>
      <c r="O137" s="865"/>
      <c r="P137" s="865"/>
    </row>
    <row r="138" spans="2:16" s="869" customFormat="1" ht="21.75" customHeight="1" x14ac:dyDescent="0.25">
      <c r="B138" s="863"/>
      <c r="C138" s="981"/>
      <c r="D138" s="929" t="s">
        <v>336</v>
      </c>
      <c r="E138" s="930">
        <v>1296800000</v>
      </c>
      <c r="F138" s="1029">
        <v>389351314600</v>
      </c>
      <c r="G138" s="927">
        <f t="shared" si="1"/>
        <v>0.33306680917008519</v>
      </c>
      <c r="H138" s="870"/>
      <c r="I138" s="870"/>
      <c r="J138" s="865"/>
      <c r="K138" s="865"/>
      <c r="L138" s="865"/>
      <c r="M138" s="865"/>
      <c r="N138" s="865"/>
      <c r="O138" s="865"/>
      <c r="P138" s="865"/>
    </row>
    <row r="139" spans="2:16" s="869" customFormat="1" ht="21.75" customHeight="1" x14ac:dyDescent="0.25">
      <c r="B139" s="863"/>
      <c r="C139" s="981"/>
      <c r="D139" s="929" t="s">
        <v>337</v>
      </c>
      <c r="E139" s="930">
        <v>500000000</v>
      </c>
      <c r="F139" s="1029">
        <v>389351314600</v>
      </c>
      <c r="G139" s="927">
        <f t="shared" si="1"/>
        <v>0.12841872654614636</v>
      </c>
      <c r="H139" s="870"/>
      <c r="I139" s="870"/>
      <c r="J139" s="865"/>
      <c r="K139" s="865"/>
      <c r="L139" s="865"/>
      <c r="M139" s="865"/>
      <c r="N139" s="865"/>
      <c r="O139" s="865"/>
      <c r="P139" s="865"/>
    </row>
    <row r="140" spans="2:16" s="869" customFormat="1" ht="21.75" customHeight="1" x14ac:dyDescent="0.25">
      <c r="B140" s="863"/>
      <c r="C140" s="981"/>
      <c r="D140" s="929" t="s">
        <v>338</v>
      </c>
      <c r="E140" s="930">
        <v>1567700000</v>
      </c>
      <c r="F140" s="1029">
        <v>389351314600</v>
      </c>
      <c r="G140" s="927">
        <f t="shared" si="1"/>
        <v>0.40264407521278733</v>
      </c>
      <c r="H140" s="870"/>
      <c r="I140" s="870"/>
      <c r="J140" s="865"/>
      <c r="K140" s="865"/>
      <c r="L140" s="865"/>
      <c r="M140" s="865"/>
      <c r="N140" s="865"/>
      <c r="O140" s="865"/>
      <c r="P140" s="865"/>
    </row>
    <row r="141" spans="2:16" s="869" customFormat="1" ht="21.75" customHeight="1" x14ac:dyDescent="0.25">
      <c r="B141" s="863"/>
      <c r="C141" s="981"/>
      <c r="D141" s="933" t="s">
        <v>339</v>
      </c>
      <c r="E141" s="926">
        <v>1426500000</v>
      </c>
      <c r="F141" s="1029">
        <v>389351314600</v>
      </c>
      <c r="G141" s="927">
        <f t="shared" si="1"/>
        <v>0.36637862683615552</v>
      </c>
      <c r="H141" s="870"/>
      <c r="I141" s="870"/>
      <c r="J141" s="865"/>
      <c r="K141" s="865"/>
      <c r="L141" s="865"/>
      <c r="M141" s="865"/>
      <c r="N141" s="865"/>
      <c r="O141" s="865"/>
      <c r="P141" s="865"/>
    </row>
    <row r="142" spans="2:16" s="869" customFormat="1" ht="21.75" customHeight="1" x14ac:dyDescent="0.25">
      <c r="B142" s="863"/>
      <c r="C142" s="981"/>
      <c r="D142" s="929" t="s">
        <v>340</v>
      </c>
      <c r="E142" s="930">
        <v>1426500000</v>
      </c>
      <c r="F142" s="1029">
        <v>389351314600</v>
      </c>
      <c r="G142" s="927">
        <f t="shared" si="1"/>
        <v>0.36637862683615552</v>
      </c>
      <c r="H142" s="870"/>
      <c r="I142" s="870"/>
      <c r="J142" s="865"/>
      <c r="K142" s="865"/>
      <c r="L142" s="865"/>
      <c r="M142" s="865"/>
      <c r="N142" s="865"/>
      <c r="O142" s="865"/>
      <c r="P142" s="865"/>
    </row>
    <row r="143" spans="2:16" s="869" customFormat="1" ht="21.75" customHeight="1" x14ac:dyDescent="0.25">
      <c r="B143" s="863"/>
      <c r="C143" s="981"/>
      <c r="D143" s="933" t="s">
        <v>343</v>
      </c>
      <c r="E143" s="926">
        <v>1055390000</v>
      </c>
      <c r="F143" s="1029">
        <v>389351314600</v>
      </c>
      <c r="G143" s="927">
        <f t="shared" si="1"/>
        <v>0.27106367961907479</v>
      </c>
      <c r="H143" s="870"/>
      <c r="I143" s="870"/>
      <c r="J143" s="865"/>
      <c r="K143" s="865"/>
      <c r="L143" s="865"/>
      <c r="M143" s="865"/>
      <c r="N143" s="865"/>
      <c r="O143" s="865"/>
      <c r="P143" s="865"/>
    </row>
    <row r="144" spans="2:16" s="869" customFormat="1" ht="38.25" customHeight="1" x14ac:dyDescent="0.25">
      <c r="B144" s="863"/>
      <c r="C144" s="981"/>
      <c r="D144" s="929" t="s">
        <v>344</v>
      </c>
      <c r="E144" s="930">
        <v>1055390000</v>
      </c>
      <c r="F144" s="1029">
        <v>389351314600</v>
      </c>
      <c r="G144" s="927">
        <f t="shared" si="1"/>
        <v>0.27106367961907479</v>
      </c>
      <c r="H144" s="870"/>
      <c r="I144" s="870"/>
      <c r="J144" s="865"/>
      <c r="K144" s="865"/>
      <c r="L144" s="865"/>
      <c r="M144" s="865"/>
      <c r="N144" s="865"/>
      <c r="O144" s="865"/>
      <c r="P144" s="865"/>
    </row>
    <row r="145" spans="2:16" s="869" customFormat="1" ht="21.75" customHeight="1" x14ac:dyDescent="0.25">
      <c r="B145" s="863"/>
      <c r="C145" s="981"/>
      <c r="D145" s="928" t="s">
        <v>345</v>
      </c>
      <c r="E145" s="926">
        <v>653610000</v>
      </c>
      <c r="F145" s="1029">
        <v>389351314600</v>
      </c>
      <c r="G145" s="927">
        <f t="shared" ref="G145:G208" si="2">E145/F145*100</f>
        <v>0.16787152771565345</v>
      </c>
      <c r="H145" s="870"/>
      <c r="I145" s="870"/>
      <c r="J145" s="865"/>
      <c r="K145" s="865"/>
      <c r="L145" s="865"/>
      <c r="M145" s="865"/>
      <c r="N145" s="865"/>
      <c r="O145" s="865"/>
      <c r="P145" s="865"/>
    </row>
    <row r="146" spans="2:16" s="869" customFormat="1" ht="21.75" customHeight="1" x14ac:dyDescent="0.25">
      <c r="B146" s="863"/>
      <c r="C146" s="981"/>
      <c r="D146" s="929" t="s">
        <v>347</v>
      </c>
      <c r="E146" s="930">
        <v>653610000</v>
      </c>
      <c r="F146" s="1029">
        <v>389351314600</v>
      </c>
      <c r="G146" s="927">
        <f t="shared" si="2"/>
        <v>0.16787152771565345</v>
      </c>
      <c r="H146" s="870"/>
      <c r="I146" s="870"/>
      <c r="J146" s="865"/>
      <c r="K146" s="865"/>
      <c r="L146" s="865"/>
      <c r="M146" s="865"/>
      <c r="N146" s="865"/>
      <c r="O146" s="865"/>
      <c r="P146" s="865"/>
    </row>
    <row r="147" spans="2:16" s="869" customFormat="1" ht="21.75" customHeight="1" x14ac:dyDescent="0.25">
      <c r="B147" s="863"/>
      <c r="C147" s="981"/>
      <c r="D147" s="929"/>
      <c r="E147" s="930"/>
      <c r="F147" s="1029">
        <v>389351314600</v>
      </c>
      <c r="G147" s="927">
        <f t="shared" si="2"/>
        <v>0</v>
      </c>
      <c r="H147" s="870"/>
      <c r="I147" s="870"/>
      <c r="J147" s="865"/>
      <c r="K147" s="865"/>
      <c r="L147" s="865"/>
      <c r="M147" s="865"/>
      <c r="N147" s="865"/>
      <c r="O147" s="865"/>
      <c r="P147" s="865"/>
    </row>
    <row r="148" spans="2:16" s="869" customFormat="1" ht="21.75" customHeight="1" x14ac:dyDescent="0.25">
      <c r="B148" s="863"/>
      <c r="C148" s="981"/>
      <c r="D148" s="964" t="s">
        <v>363</v>
      </c>
      <c r="E148" s="926">
        <f>+E149+E151+E155</f>
        <v>3000000000</v>
      </c>
      <c r="F148" s="1029">
        <v>389351314600</v>
      </c>
      <c r="G148" s="927">
        <f t="shared" si="2"/>
        <v>0.77051235927687811</v>
      </c>
      <c r="H148" s="870"/>
      <c r="I148" s="870"/>
      <c r="J148" s="865"/>
      <c r="K148" s="865"/>
      <c r="L148" s="865"/>
      <c r="M148" s="865"/>
      <c r="N148" s="865"/>
      <c r="O148" s="865"/>
      <c r="P148" s="865"/>
    </row>
    <row r="149" spans="2:16" s="869" customFormat="1" ht="38.25" customHeight="1" x14ac:dyDescent="0.25">
      <c r="B149" s="863"/>
      <c r="C149" s="981"/>
      <c r="D149" s="928" t="s">
        <v>364</v>
      </c>
      <c r="E149" s="926">
        <v>404450000</v>
      </c>
      <c r="F149" s="1029">
        <v>389351314600</v>
      </c>
      <c r="G149" s="927">
        <f t="shared" si="2"/>
        <v>0.10387790790317777</v>
      </c>
      <c r="H149" s="870"/>
      <c r="I149" s="870"/>
      <c r="J149" s="865"/>
      <c r="K149" s="865"/>
      <c r="L149" s="865"/>
      <c r="M149" s="865"/>
      <c r="N149" s="865"/>
      <c r="O149" s="865"/>
      <c r="P149" s="865"/>
    </row>
    <row r="150" spans="2:16" s="869" customFormat="1" ht="21.75" customHeight="1" x14ac:dyDescent="0.25">
      <c r="B150" s="863"/>
      <c r="C150" s="981"/>
      <c r="D150" s="929" t="s">
        <v>4331</v>
      </c>
      <c r="E150" s="930">
        <v>404450000</v>
      </c>
      <c r="F150" s="1029">
        <v>389351314600</v>
      </c>
      <c r="G150" s="927">
        <f t="shared" si="2"/>
        <v>0.10387790790317777</v>
      </c>
      <c r="H150" s="870"/>
      <c r="I150" s="870"/>
      <c r="J150" s="865"/>
      <c r="K150" s="865"/>
      <c r="L150" s="865"/>
      <c r="M150" s="865"/>
      <c r="N150" s="865"/>
      <c r="O150" s="865"/>
      <c r="P150" s="865"/>
    </row>
    <row r="151" spans="2:16" s="869" customFormat="1" ht="38.25" customHeight="1" x14ac:dyDescent="0.25">
      <c r="B151" s="863"/>
      <c r="C151" s="981"/>
      <c r="D151" s="928" t="s">
        <v>367</v>
      </c>
      <c r="E151" s="926">
        <v>997085250</v>
      </c>
      <c r="F151" s="1029">
        <v>389351314600</v>
      </c>
      <c r="G151" s="927">
        <f t="shared" si="2"/>
        <v>0.25608883612589195</v>
      </c>
      <c r="H151" s="870"/>
      <c r="I151" s="870"/>
      <c r="J151" s="865"/>
      <c r="K151" s="865"/>
      <c r="L151" s="865"/>
      <c r="M151" s="865"/>
      <c r="N151" s="865"/>
      <c r="O151" s="865"/>
      <c r="P151" s="865"/>
    </row>
    <row r="152" spans="2:16" s="869" customFormat="1" ht="21.75" customHeight="1" x14ac:dyDescent="0.25">
      <c r="B152" s="863"/>
      <c r="C152" s="981"/>
      <c r="D152" s="929" t="s">
        <v>4518</v>
      </c>
      <c r="E152" s="930">
        <v>250000000</v>
      </c>
      <c r="F152" s="1029">
        <v>389351314600</v>
      </c>
      <c r="G152" s="927">
        <f t="shared" si="2"/>
        <v>6.4209363273073181E-2</v>
      </c>
      <c r="H152" s="870"/>
      <c r="I152" s="870"/>
      <c r="J152" s="865"/>
      <c r="K152" s="865"/>
      <c r="L152" s="865"/>
      <c r="M152" s="865"/>
      <c r="N152" s="865"/>
      <c r="O152" s="865"/>
      <c r="P152" s="865"/>
    </row>
    <row r="153" spans="2:16" s="869" customFormat="1" ht="21.75" customHeight="1" x14ac:dyDescent="0.25">
      <c r="B153" s="863"/>
      <c r="C153" s="981"/>
      <c r="D153" s="929" t="s">
        <v>4516</v>
      </c>
      <c r="E153" s="930">
        <v>301535250</v>
      </c>
      <c r="F153" s="1029">
        <v>389351314600</v>
      </c>
      <c r="G153" s="927">
        <f t="shared" si="2"/>
        <v>7.7445545627547754E-2</v>
      </c>
      <c r="H153" s="870"/>
      <c r="I153" s="870"/>
      <c r="J153" s="865"/>
      <c r="K153" s="865"/>
      <c r="L153" s="865"/>
      <c r="M153" s="865"/>
      <c r="N153" s="865"/>
      <c r="O153" s="865"/>
      <c r="P153" s="865"/>
    </row>
    <row r="154" spans="2:16" s="869" customFormat="1" ht="21.75" customHeight="1" x14ac:dyDescent="0.25">
      <c r="B154" s="863"/>
      <c r="C154" s="981"/>
      <c r="D154" s="929" t="s">
        <v>4517</v>
      </c>
      <c r="E154" s="930">
        <v>445550000</v>
      </c>
      <c r="F154" s="1029">
        <v>389351314600</v>
      </c>
      <c r="G154" s="927">
        <f t="shared" si="2"/>
        <v>0.11443392722527103</v>
      </c>
      <c r="H154" s="870"/>
      <c r="I154" s="870"/>
      <c r="J154" s="865"/>
      <c r="K154" s="865"/>
      <c r="L154" s="865"/>
      <c r="M154" s="865"/>
      <c r="N154" s="865"/>
      <c r="O154" s="865"/>
      <c r="P154" s="865"/>
    </row>
    <row r="155" spans="2:16" s="869" customFormat="1" ht="21.75" customHeight="1" x14ac:dyDescent="0.25">
      <c r="B155" s="863"/>
      <c r="C155" s="981"/>
      <c r="D155" s="933" t="s">
        <v>370</v>
      </c>
      <c r="E155" s="926">
        <v>1598464750</v>
      </c>
      <c r="F155" s="1029">
        <v>389351314600</v>
      </c>
      <c r="G155" s="927">
        <f t="shared" si="2"/>
        <v>0.41054561524780836</v>
      </c>
      <c r="H155" s="870"/>
      <c r="I155" s="870"/>
      <c r="J155" s="865"/>
      <c r="K155" s="865"/>
      <c r="L155" s="865"/>
      <c r="M155" s="865"/>
      <c r="N155" s="865"/>
      <c r="O155" s="865"/>
      <c r="P155" s="865"/>
    </row>
    <row r="156" spans="2:16" s="869" customFormat="1" ht="21.75" customHeight="1" x14ac:dyDescent="0.25">
      <c r="B156" s="863"/>
      <c r="C156" s="981"/>
      <c r="D156" s="929" t="s">
        <v>505</v>
      </c>
      <c r="E156" s="930">
        <v>300000000</v>
      </c>
      <c r="F156" s="1029">
        <v>389351314600</v>
      </c>
      <c r="G156" s="927">
        <f t="shared" si="2"/>
        <v>7.7051235927687811E-2</v>
      </c>
      <c r="H156" s="870"/>
      <c r="I156" s="870"/>
      <c r="J156" s="865"/>
      <c r="K156" s="865"/>
      <c r="L156" s="865"/>
      <c r="M156" s="865"/>
      <c r="N156" s="865"/>
      <c r="O156" s="865"/>
      <c r="P156" s="865"/>
    </row>
    <row r="157" spans="2:16" s="869" customFormat="1" ht="21.75" customHeight="1" x14ac:dyDescent="0.25">
      <c r="B157" s="863"/>
      <c r="C157" s="981"/>
      <c r="D157" s="929" t="s">
        <v>374</v>
      </c>
      <c r="E157" s="930">
        <v>198464750</v>
      </c>
      <c r="F157" s="1029">
        <v>389351314600</v>
      </c>
      <c r="G157" s="927">
        <f t="shared" si="2"/>
        <v>5.0973180918598593E-2</v>
      </c>
      <c r="H157" s="870"/>
      <c r="I157" s="870"/>
      <c r="J157" s="865"/>
      <c r="K157" s="865"/>
      <c r="L157" s="865"/>
      <c r="M157" s="865"/>
      <c r="N157" s="865"/>
      <c r="O157" s="865"/>
      <c r="P157" s="865"/>
    </row>
    <row r="158" spans="2:16" s="869" customFormat="1" ht="21.75" customHeight="1" x14ac:dyDescent="0.25">
      <c r="B158" s="863"/>
      <c r="C158" s="981"/>
      <c r="D158" s="929" t="s">
        <v>4332</v>
      </c>
      <c r="E158" s="930">
        <v>250000000</v>
      </c>
      <c r="F158" s="1029">
        <v>389351314600</v>
      </c>
      <c r="G158" s="927">
        <f t="shared" si="2"/>
        <v>6.4209363273073181E-2</v>
      </c>
      <c r="H158" s="870"/>
      <c r="I158" s="870"/>
      <c r="J158" s="865"/>
      <c r="K158" s="865"/>
      <c r="L158" s="865"/>
      <c r="M158" s="865"/>
      <c r="N158" s="865"/>
      <c r="O158" s="865"/>
      <c r="P158" s="865"/>
    </row>
    <row r="159" spans="2:16" s="869" customFormat="1" ht="21.75" customHeight="1" x14ac:dyDescent="0.25">
      <c r="B159" s="863"/>
      <c r="C159" s="981"/>
      <c r="D159" s="929" t="s">
        <v>4333</v>
      </c>
      <c r="E159" s="930">
        <v>250000000</v>
      </c>
      <c r="F159" s="1029">
        <v>389351314600</v>
      </c>
      <c r="G159" s="927">
        <f t="shared" si="2"/>
        <v>6.4209363273073181E-2</v>
      </c>
      <c r="H159" s="870"/>
      <c r="I159" s="870"/>
      <c r="J159" s="865"/>
      <c r="K159" s="865"/>
      <c r="L159" s="865"/>
      <c r="M159" s="865"/>
      <c r="N159" s="865"/>
      <c r="O159" s="865"/>
      <c r="P159" s="865"/>
    </row>
    <row r="160" spans="2:16" s="869" customFormat="1" ht="38.25" customHeight="1" x14ac:dyDescent="0.25">
      <c r="B160" s="863"/>
      <c r="C160" s="981"/>
      <c r="D160" s="929" t="s">
        <v>4334</v>
      </c>
      <c r="E160" s="930">
        <v>325000000</v>
      </c>
      <c r="F160" s="1029">
        <v>389351314600</v>
      </c>
      <c r="G160" s="927">
        <f t="shared" si="2"/>
        <v>8.347217225499512E-2</v>
      </c>
      <c r="H160" s="870"/>
      <c r="I160" s="870"/>
      <c r="J160" s="865"/>
      <c r="K160" s="865"/>
      <c r="L160" s="865"/>
      <c r="M160" s="865"/>
      <c r="N160" s="865"/>
      <c r="O160" s="865"/>
      <c r="P160" s="865"/>
    </row>
    <row r="161" spans="2:16" s="869" customFormat="1" ht="21.75" customHeight="1" x14ac:dyDescent="0.25">
      <c r="B161" s="863"/>
      <c r="C161" s="981"/>
      <c r="D161" s="929" t="s">
        <v>4335</v>
      </c>
      <c r="E161" s="930">
        <v>275000000</v>
      </c>
      <c r="F161" s="1029">
        <v>389351314600</v>
      </c>
      <c r="G161" s="927">
        <f t="shared" si="2"/>
        <v>7.0630299600380489E-2</v>
      </c>
      <c r="H161" s="870"/>
      <c r="I161" s="870"/>
      <c r="J161" s="865"/>
      <c r="K161" s="865"/>
      <c r="L161" s="865"/>
      <c r="M161" s="865"/>
      <c r="N161" s="865"/>
      <c r="O161" s="865"/>
      <c r="P161" s="865"/>
    </row>
    <row r="162" spans="2:16" s="869" customFormat="1" ht="21.75" customHeight="1" x14ac:dyDescent="0.25">
      <c r="B162" s="863"/>
      <c r="C162" s="981"/>
      <c r="D162" s="929"/>
      <c r="E162" s="932"/>
      <c r="F162" s="1029">
        <v>389351314600</v>
      </c>
      <c r="G162" s="927">
        <f t="shared" si="2"/>
        <v>0</v>
      </c>
      <c r="H162" s="870"/>
      <c r="I162" s="870"/>
      <c r="J162" s="865"/>
      <c r="K162" s="865"/>
      <c r="L162" s="865"/>
      <c r="M162" s="865"/>
      <c r="N162" s="865"/>
      <c r="O162" s="865"/>
      <c r="P162" s="865"/>
    </row>
    <row r="163" spans="2:16" s="869" customFormat="1" ht="21.75" customHeight="1" x14ac:dyDescent="0.25">
      <c r="B163" s="863"/>
      <c r="C163" s="981"/>
      <c r="D163" s="964" t="s">
        <v>4336</v>
      </c>
      <c r="E163" s="931">
        <f>+E164+E168+E170</f>
        <v>5000000000</v>
      </c>
      <c r="F163" s="1029">
        <v>389351314600</v>
      </c>
      <c r="G163" s="927">
        <f t="shared" si="2"/>
        <v>1.2841872654614637</v>
      </c>
      <c r="H163" s="870"/>
      <c r="I163" s="870"/>
      <c r="J163" s="865"/>
      <c r="K163" s="865"/>
      <c r="L163" s="865"/>
      <c r="M163" s="865"/>
      <c r="N163" s="865"/>
      <c r="O163" s="865"/>
      <c r="P163" s="865"/>
    </row>
    <row r="164" spans="2:16" s="869" customFormat="1" ht="21.75" customHeight="1" x14ac:dyDescent="0.25">
      <c r="B164" s="863"/>
      <c r="C164" s="981"/>
      <c r="D164" s="933" t="s">
        <v>381</v>
      </c>
      <c r="E164" s="926">
        <v>2500000000</v>
      </c>
      <c r="F164" s="1029">
        <v>389351314600</v>
      </c>
      <c r="G164" s="927">
        <f t="shared" si="2"/>
        <v>0.64209363273073183</v>
      </c>
      <c r="H164" s="870"/>
      <c r="I164" s="870"/>
      <c r="J164" s="865"/>
      <c r="K164" s="865"/>
      <c r="L164" s="865"/>
      <c r="M164" s="865"/>
      <c r="N164" s="865"/>
      <c r="O164" s="865"/>
      <c r="P164" s="865"/>
    </row>
    <row r="165" spans="2:16" s="869" customFormat="1" ht="21.75" customHeight="1" x14ac:dyDescent="0.25">
      <c r="B165" s="863"/>
      <c r="C165" s="981"/>
      <c r="D165" s="929" t="s">
        <v>382</v>
      </c>
      <c r="E165" s="930">
        <v>268243000</v>
      </c>
      <c r="F165" s="1029">
        <v>389351314600</v>
      </c>
      <c r="G165" s="927">
        <f t="shared" si="2"/>
        <v>6.8894848929835883E-2</v>
      </c>
      <c r="H165" s="870"/>
      <c r="I165" s="870"/>
      <c r="J165" s="865"/>
      <c r="K165" s="865"/>
      <c r="L165" s="865"/>
      <c r="M165" s="865"/>
      <c r="N165" s="865"/>
      <c r="O165" s="865"/>
      <c r="P165" s="865"/>
    </row>
    <row r="166" spans="2:16" s="869" customFormat="1" ht="38.25" customHeight="1" x14ac:dyDescent="0.25">
      <c r="B166" s="863"/>
      <c r="C166" s="981"/>
      <c r="D166" s="929" t="s">
        <v>4337</v>
      </c>
      <c r="E166" s="930">
        <v>1000000000</v>
      </c>
      <c r="F166" s="1029">
        <v>389351314600</v>
      </c>
      <c r="G166" s="927">
        <f t="shared" si="2"/>
        <v>0.25683745309229272</v>
      </c>
      <c r="H166" s="870"/>
      <c r="I166" s="870"/>
      <c r="J166" s="865"/>
      <c r="K166" s="865"/>
      <c r="L166" s="865"/>
      <c r="M166" s="865"/>
      <c r="N166" s="865"/>
      <c r="O166" s="865"/>
      <c r="P166" s="865"/>
    </row>
    <row r="167" spans="2:16" s="869" customFormat="1" ht="21.75" customHeight="1" x14ac:dyDescent="0.25">
      <c r="B167" s="863"/>
      <c r="C167" s="981"/>
      <c r="D167" s="929" t="s">
        <v>4338</v>
      </c>
      <c r="E167" s="930">
        <v>1231757000</v>
      </c>
      <c r="F167" s="1029">
        <v>389351314600</v>
      </c>
      <c r="G167" s="927">
        <f t="shared" si="2"/>
        <v>0.31636133070860317</v>
      </c>
      <c r="H167" s="870"/>
      <c r="I167" s="870"/>
      <c r="J167" s="865"/>
      <c r="K167" s="865"/>
      <c r="L167" s="865"/>
      <c r="M167" s="865"/>
      <c r="N167" s="865"/>
      <c r="O167" s="865"/>
      <c r="P167" s="865"/>
    </row>
    <row r="168" spans="2:16" s="869" customFormat="1" ht="21.75" customHeight="1" x14ac:dyDescent="0.25">
      <c r="B168" s="863"/>
      <c r="C168" s="981"/>
      <c r="D168" s="933" t="s">
        <v>4339</v>
      </c>
      <c r="E168" s="926">
        <v>1500000000</v>
      </c>
      <c r="F168" s="1029">
        <v>389351314600</v>
      </c>
      <c r="G168" s="927">
        <f t="shared" si="2"/>
        <v>0.38525617963843906</v>
      </c>
      <c r="H168" s="870"/>
      <c r="I168" s="870"/>
      <c r="J168" s="865"/>
      <c r="K168" s="865"/>
      <c r="L168" s="865"/>
      <c r="M168" s="865"/>
      <c r="N168" s="865"/>
      <c r="O168" s="865"/>
      <c r="P168" s="865"/>
    </row>
    <row r="169" spans="2:16" s="869" customFormat="1" ht="38.25" customHeight="1" x14ac:dyDescent="0.25">
      <c r="B169" s="863"/>
      <c r="C169" s="981"/>
      <c r="D169" s="929" t="s">
        <v>4340</v>
      </c>
      <c r="E169" s="930">
        <v>1500000000</v>
      </c>
      <c r="F169" s="1029">
        <v>389351314600</v>
      </c>
      <c r="G169" s="927">
        <f t="shared" si="2"/>
        <v>0.38525617963843906</v>
      </c>
      <c r="H169" s="870"/>
      <c r="I169" s="870"/>
      <c r="J169" s="865"/>
      <c r="K169" s="865"/>
      <c r="L169" s="865"/>
      <c r="M169" s="865"/>
      <c r="N169" s="865"/>
      <c r="O169" s="865"/>
      <c r="P169" s="865"/>
    </row>
    <row r="170" spans="2:16" s="869" customFormat="1" ht="21.75" customHeight="1" x14ac:dyDescent="0.25">
      <c r="B170" s="863"/>
      <c r="C170" s="981"/>
      <c r="D170" s="933" t="s">
        <v>384</v>
      </c>
      <c r="E170" s="926">
        <v>1000000000</v>
      </c>
      <c r="F170" s="1029">
        <v>389351314600</v>
      </c>
      <c r="G170" s="927">
        <f t="shared" si="2"/>
        <v>0.25683745309229272</v>
      </c>
      <c r="H170" s="870"/>
      <c r="I170" s="870"/>
      <c r="J170" s="865"/>
      <c r="K170" s="865"/>
      <c r="L170" s="865"/>
      <c r="M170" s="865"/>
      <c r="N170" s="865"/>
      <c r="O170" s="865"/>
      <c r="P170" s="865"/>
    </row>
    <row r="171" spans="2:16" s="869" customFormat="1" ht="38.25" customHeight="1" x14ac:dyDescent="0.25">
      <c r="B171" s="863"/>
      <c r="C171" s="981"/>
      <c r="D171" s="929" t="s">
        <v>4341</v>
      </c>
      <c r="E171" s="930">
        <v>450875000</v>
      </c>
      <c r="F171" s="1029">
        <v>389351314600</v>
      </c>
      <c r="G171" s="927">
        <f t="shared" si="2"/>
        <v>0.11580158666298747</v>
      </c>
      <c r="H171" s="870"/>
      <c r="I171" s="870"/>
      <c r="J171" s="865"/>
      <c r="K171" s="865"/>
      <c r="L171" s="865"/>
      <c r="M171" s="865"/>
      <c r="N171" s="865"/>
      <c r="O171" s="865"/>
      <c r="P171" s="865"/>
    </row>
    <row r="172" spans="2:16" s="869" customFormat="1" ht="21.75" customHeight="1" x14ac:dyDescent="0.25">
      <c r="B172" s="863"/>
      <c r="C172" s="981"/>
      <c r="D172" s="929" t="s">
        <v>387</v>
      </c>
      <c r="E172" s="930">
        <v>549125000</v>
      </c>
      <c r="F172" s="1029">
        <v>389351314600</v>
      </c>
      <c r="G172" s="927">
        <f t="shared" si="2"/>
        <v>0.14103586642930521</v>
      </c>
      <c r="H172" s="870"/>
      <c r="I172" s="870"/>
      <c r="J172" s="865"/>
      <c r="K172" s="865"/>
      <c r="L172" s="865"/>
      <c r="M172" s="865"/>
      <c r="N172" s="865"/>
      <c r="O172" s="865"/>
      <c r="P172" s="865"/>
    </row>
    <row r="173" spans="2:16" s="869" customFormat="1" ht="21.75" customHeight="1" x14ac:dyDescent="0.25">
      <c r="B173" s="863"/>
      <c r="C173" s="981"/>
      <c r="D173" s="929"/>
      <c r="E173" s="932"/>
      <c r="F173" s="1029">
        <v>389351314600</v>
      </c>
      <c r="G173" s="927">
        <f t="shared" si="2"/>
        <v>0</v>
      </c>
      <c r="H173" s="870"/>
      <c r="I173" s="870"/>
      <c r="J173" s="865"/>
      <c r="K173" s="865"/>
      <c r="L173" s="865"/>
      <c r="M173" s="865"/>
      <c r="N173" s="865"/>
      <c r="O173" s="865"/>
      <c r="P173" s="865"/>
    </row>
    <row r="174" spans="2:16" s="869" customFormat="1" ht="21.75" customHeight="1" x14ac:dyDescent="0.25">
      <c r="B174" s="863"/>
      <c r="C174" s="981"/>
      <c r="D174" s="964" t="s">
        <v>415</v>
      </c>
      <c r="E174" s="931">
        <f>+E175+E177+E180+E184+E186+E192</f>
        <v>6000000000</v>
      </c>
      <c r="F174" s="1029">
        <v>389351314600</v>
      </c>
      <c r="G174" s="927">
        <f t="shared" si="2"/>
        <v>1.5410247185537562</v>
      </c>
      <c r="H174" s="870"/>
      <c r="I174" s="870"/>
      <c r="J174" s="865"/>
      <c r="K174" s="865"/>
      <c r="L174" s="865"/>
      <c r="M174" s="865"/>
      <c r="N174" s="865"/>
      <c r="O174" s="865"/>
      <c r="P174" s="865"/>
    </row>
    <row r="175" spans="2:16" s="869" customFormat="1" ht="21.75" customHeight="1" x14ac:dyDescent="0.25">
      <c r="B175" s="863"/>
      <c r="C175" s="981"/>
      <c r="D175" s="933" t="s">
        <v>418</v>
      </c>
      <c r="E175" s="926">
        <v>553000000</v>
      </c>
      <c r="F175" s="1029">
        <v>389351314600</v>
      </c>
      <c r="G175" s="927">
        <f t="shared" si="2"/>
        <v>0.14203111156003786</v>
      </c>
      <c r="H175" s="870"/>
      <c r="I175" s="870"/>
      <c r="J175" s="865"/>
      <c r="K175" s="865"/>
      <c r="L175" s="865"/>
      <c r="M175" s="865"/>
      <c r="N175" s="865"/>
      <c r="O175" s="865"/>
      <c r="P175" s="865"/>
    </row>
    <row r="176" spans="2:16" s="869" customFormat="1" ht="21.75" customHeight="1" x14ac:dyDescent="0.25">
      <c r="B176" s="863"/>
      <c r="C176" s="981"/>
      <c r="D176" s="929" t="s">
        <v>4342</v>
      </c>
      <c r="E176" s="930">
        <v>553000000</v>
      </c>
      <c r="F176" s="1029">
        <v>389351314600</v>
      </c>
      <c r="G176" s="927">
        <f t="shared" si="2"/>
        <v>0.14203111156003786</v>
      </c>
      <c r="H176" s="870"/>
      <c r="I176" s="870"/>
      <c r="J176" s="865"/>
      <c r="K176" s="865"/>
      <c r="L176" s="865"/>
      <c r="M176" s="865"/>
      <c r="N176" s="865"/>
      <c r="O176" s="865"/>
      <c r="P176" s="865"/>
    </row>
    <row r="177" spans="2:16" s="869" customFormat="1" ht="21.75" customHeight="1" x14ac:dyDescent="0.25">
      <c r="B177" s="863"/>
      <c r="C177" s="981"/>
      <c r="D177" s="928" t="s">
        <v>4343</v>
      </c>
      <c r="E177" s="926">
        <v>214400000</v>
      </c>
      <c r="F177" s="1029">
        <v>389351314600</v>
      </c>
      <c r="G177" s="927">
        <f t="shared" si="2"/>
        <v>5.5065949942987559E-2</v>
      </c>
      <c r="H177" s="870"/>
      <c r="I177" s="870"/>
      <c r="J177" s="865"/>
      <c r="K177" s="865"/>
      <c r="L177" s="865"/>
      <c r="M177" s="865"/>
      <c r="N177" s="865"/>
      <c r="O177" s="865"/>
      <c r="P177" s="865"/>
    </row>
    <row r="178" spans="2:16" s="869" customFormat="1" ht="21.75" customHeight="1" x14ac:dyDescent="0.25">
      <c r="B178" s="863"/>
      <c r="C178" s="981"/>
      <c r="D178" s="929" t="s">
        <v>2769</v>
      </c>
      <c r="E178" s="930">
        <v>102000000</v>
      </c>
      <c r="F178" s="1029">
        <v>389351314600</v>
      </c>
      <c r="G178" s="927">
        <f t="shared" si="2"/>
        <v>2.6197420215413859E-2</v>
      </c>
      <c r="H178" s="870"/>
      <c r="I178" s="870"/>
      <c r="J178" s="865"/>
      <c r="K178" s="865"/>
      <c r="L178" s="865"/>
      <c r="M178" s="865"/>
      <c r="N178" s="865"/>
      <c r="O178" s="865"/>
      <c r="P178" s="865"/>
    </row>
    <row r="179" spans="2:16" s="869" customFormat="1" ht="21.75" customHeight="1" x14ac:dyDescent="0.25">
      <c r="B179" s="863"/>
      <c r="C179" s="981"/>
      <c r="D179" s="929" t="s">
        <v>4344</v>
      </c>
      <c r="E179" s="930">
        <v>112400000</v>
      </c>
      <c r="F179" s="1029">
        <v>389351314600</v>
      </c>
      <c r="G179" s="927">
        <f t="shared" si="2"/>
        <v>2.8868529727573703E-2</v>
      </c>
      <c r="H179" s="870"/>
      <c r="I179" s="870"/>
      <c r="J179" s="865"/>
      <c r="K179" s="865"/>
      <c r="L179" s="865"/>
      <c r="M179" s="865"/>
      <c r="N179" s="865"/>
      <c r="O179" s="865"/>
      <c r="P179" s="865"/>
    </row>
    <row r="180" spans="2:16" s="869" customFormat="1" ht="21.75" customHeight="1" x14ac:dyDescent="0.25">
      <c r="B180" s="863"/>
      <c r="C180" s="981"/>
      <c r="D180" s="928" t="s">
        <v>421</v>
      </c>
      <c r="E180" s="926">
        <v>1064600000</v>
      </c>
      <c r="F180" s="1029">
        <v>389351314600</v>
      </c>
      <c r="G180" s="927">
        <f t="shared" si="2"/>
        <v>0.2734291525620548</v>
      </c>
      <c r="H180" s="870"/>
      <c r="I180" s="870"/>
      <c r="J180" s="865"/>
      <c r="K180" s="865"/>
      <c r="L180" s="865"/>
      <c r="M180" s="865"/>
      <c r="N180" s="865"/>
      <c r="O180" s="865"/>
      <c r="P180" s="865"/>
    </row>
    <row r="181" spans="2:16" s="869" customFormat="1" ht="21.75" customHeight="1" x14ac:dyDescent="0.25">
      <c r="B181" s="863"/>
      <c r="C181" s="981"/>
      <c r="D181" s="929" t="s">
        <v>4345</v>
      </c>
      <c r="E181" s="930">
        <v>485000000</v>
      </c>
      <c r="F181" s="1029">
        <v>389351314600</v>
      </c>
      <c r="G181" s="927">
        <f t="shared" si="2"/>
        <v>0.12456616474976197</v>
      </c>
      <c r="H181" s="870"/>
      <c r="I181" s="870"/>
      <c r="J181" s="865"/>
      <c r="K181" s="865"/>
      <c r="L181" s="865"/>
      <c r="M181" s="865"/>
      <c r="N181" s="865"/>
      <c r="O181" s="865"/>
      <c r="P181" s="865"/>
    </row>
    <row r="182" spans="2:16" s="869" customFormat="1" ht="21.75" customHeight="1" x14ac:dyDescent="0.25">
      <c r="B182" s="863"/>
      <c r="C182" s="981"/>
      <c r="D182" s="929" t="s">
        <v>4346</v>
      </c>
      <c r="E182" s="930">
        <v>479600000</v>
      </c>
      <c r="F182" s="1029">
        <v>389351314600</v>
      </c>
      <c r="G182" s="927">
        <f t="shared" si="2"/>
        <v>0.12317924250306359</v>
      </c>
      <c r="H182" s="870"/>
      <c r="I182" s="870"/>
      <c r="J182" s="865"/>
      <c r="K182" s="865"/>
      <c r="L182" s="865"/>
      <c r="M182" s="865"/>
      <c r="N182" s="865"/>
      <c r="O182" s="865"/>
      <c r="P182" s="865"/>
    </row>
    <row r="183" spans="2:16" s="869" customFormat="1" ht="21.75" customHeight="1" x14ac:dyDescent="0.25">
      <c r="B183" s="863"/>
      <c r="C183" s="981"/>
      <c r="D183" s="929" t="s">
        <v>422</v>
      </c>
      <c r="E183" s="930">
        <v>100000000</v>
      </c>
      <c r="F183" s="1029">
        <v>389351314600</v>
      </c>
      <c r="G183" s="927">
        <f t="shared" si="2"/>
        <v>2.5683745309229268E-2</v>
      </c>
      <c r="H183" s="870"/>
      <c r="I183" s="870"/>
      <c r="J183" s="865"/>
      <c r="K183" s="865"/>
      <c r="L183" s="865"/>
      <c r="M183" s="865"/>
      <c r="N183" s="865"/>
      <c r="O183" s="865"/>
      <c r="P183" s="865"/>
    </row>
    <row r="184" spans="2:16" s="869" customFormat="1" ht="21.75" customHeight="1" x14ac:dyDescent="0.25">
      <c r="B184" s="863"/>
      <c r="C184" s="981"/>
      <c r="D184" s="928" t="s">
        <v>4347</v>
      </c>
      <c r="E184" s="926">
        <v>282900000</v>
      </c>
      <c r="F184" s="1029">
        <v>389351314600</v>
      </c>
      <c r="G184" s="927">
        <f t="shared" si="2"/>
        <v>7.2659315479809611E-2</v>
      </c>
      <c r="H184" s="870"/>
      <c r="I184" s="870"/>
      <c r="J184" s="865"/>
      <c r="K184" s="865"/>
      <c r="L184" s="865"/>
      <c r="M184" s="865"/>
      <c r="N184" s="865"/>
      <c r="O184" s="865"/>
      <c r="P184" s="865"/>
    </row>
    <row r="185" spans="2:16" s="869" customFormat="1" ht="21.75" customHeight="1" x14ac:dyDescent="0.25">
      <c r="B185" s="863"/>
      <c r="C185" s="981"/>
      <c r="D185" s="929" t="s">
        <v>4348</v>
      </c>
      <c r="E185" s="930">
        <v>282900000</v>
      </c>
      <c r="F185" s="1029">
        <v>389351314600</v>
      </c>
      <c r="G185" s="927">
        <f t="shared" si="2"/>
        <v>7.2659315479809611E-2</v>
      </c>
      <c r="H185" s="870"/>
      <c r="I185" s="870"/>
      <c r="J185" s="865"/>
      <c r="K185" s="865"/>
      <c r="L185" s="865"/>
      <c r="M185" s="865"/>
      <c r="N185" s="865"/>
      <c r="O185" s="865"/>
      <c r="P185" s="865"/>
    </row>
    <row r="186" spans="2:16" s="869" customFormat="1" ht="21.75" customHeight="1" x14ac:dyDescent="0.25">
      <c r="B186" s="863"/>
      <c r="C186" s="981"/>
      <c r="D186" s="928" t="s">
        <v>423</v>
      </c>
      <c r="E186" s="926">
        <v>1488600000</v>
      </c>
      <c r="F186" s="1029">
        <v>389351314600</v>
      </c>
      <c r="G186" s="927">
        <f t="shared" si="2"/>
        <v>0.38232823267318694</v>
      </c>
      <c r="H186" s="870"/>
      <c r="I186" s="870"/>
      <c r="J186" s="865"/>
      <c r="K186" s="865"/>
      <c r="L186" s="865"/>
      <c r="M186" s="865"/>
      <c r="N186" s="865"/>
      <c r="O186" s="865"/>
      <c r="P186" s="865"/>
    </row>
    <row r="187" spans="2:16" s="869" customFormat="1" ht="21.75" customHeight="1" x14ac:dyDescent="0.25">
      <c r="B187" s="863"/>
      <c r="C187" s="981"/>
      <c r="D187" s="929" t="s">
        <v>424</v>
      </c>
      <c r="E187" s="930">
        <v>562400000</v>
      </c>
      <c r="F187" s="1029">
        <v>389351314600</v>
      </c>
      <c r="G187" s="927">
        <f t="shared" si="2"/>
        <v>0.14444538361910542</v>
      </c>
      <c r="H187" s="870"/>
      <c r="I187" s="870"/>
      <c r="J187" s="865"/>
      <c r="K187" s="865"/>
      <c r="L187" s="865"/>
      <c r="M187" s="865"/>
      <c r="N187" s="865"/>
      <c r="O187" s="865"/>
      <c r="P187" s="865"/>
    </row>
    <row r="188" spans="2:16" s="869" customFormat="1" ht="21.75" customHeight="1" x14ac:dyDescent="0.25">
      <c r="B188" s="863"/>
      <c r="C188" s="981"/>
      <c r="D188" s="929" t="s">
        <v>4349</v>
      </c>
      <c r="E188" s="930">
        <v>280000000</v>
      </c>
      <c r="F188" s="1029">
        <v>389351314600</v>
      </c>
      <c r="G188" s="927">
        <f t="shared" si="2"/>
        <v>7.1914486865841967E-2</v>
      </c>
      <c r="H188" s="870"/>
      <c r="I188" s="870"/>
      <c r="J188" s="865"/>
      <c r="K188" s="865"/>
      <c r="L188" s="865"/>
      <c r="M188" s="865"/>
      <c r="N188" s="865"/>
      <c r="O188" s="865"/>
      <c r="P188" s="865"/>
    </row>
    <row r="189" spans="2:16" s="869" customFormat="1" ht="21.75" customHeight="1" x14ac:dyDescent="0.25">
      <c r="B189" s="863"/>
      <c r="C189" s="981"/>
      <c r="D189" s="929" t="s">
        <v>4350</v>
      </c>
      <c r="E189" s="930">
        <v>264200000</v>
      </c>
      <c r="F189" s="1029">
        <v>389351314600</v>
      </c>
      <c r="G189" s="927">
        <f t="shared" si="2"/>
        <v>6.7856455106983737E-2</v>
      </c>
      <c r="H189" s="870"/>
      <c r="I189" s="870"/>
      <c r="J189" s="865"/>
      <c r="K189" s="865"/>
      <c r="L189" s="865"/>
      <c r="M189" s="865"/>
      <c r="N189" s="865"/>
      <c r="O189" s="865"/>
      <c r="P189" s="865"/>
    </row>
    <row r="190" spans="2:16" s="869" customFormat="1" ht="21.75" customHeight="1" x14ac:dyDescent="0.25">
      <c r="B190" s="863"/>
      <c r="C190" s="981"/>
      <c r="D190" s="929" t="s">
        <v>4351</v>
      </c>
      <c r="E190" s="930">
        <v>83000000</v>
      </c>
      <c r="F190" s="1029">
        <v>389351314600</v>
      </c>
      <c r="G190" s="927">
        <f t="shared" si="2"/>
        <v>2.1317508606660294E-2</v>
      </c>
      <c r="H190" s="870"/>
      <c r="I190" s="870"/>
      <c r="J190" s="865"/>
      <c r="K190" s="865"/>
      <c r="L190" s="865"/>
      <c r="M190" s="865"/>
      <c r="N190" s="865"/>
      <c r="O190" s="865"/>
      <c r="P190" s="865"/>
    </row>
    <row r="191" spans="2:16" s="869" customFormat="1" ht="21.75" customHeight="1" x14ac:dyDescent="0.25">
      <c r="B191" s="863"/>
      <c r="C191" s="981"/>
      <c r="D191" s="965" t="s">
        <v>4352</v>
      </c>
      <c r="E191" s="930">
        <v>299000000</v>
      </c>
      <c r="F191" s="1029">
        <v>389351314600</v>
      </c>
      <c r="G191" s="927">
        <f t="shared" si="2"/>
        <v>7.6794398474595529E-2</v>
      </c>
      <c r="H191" s="870"/>
      <c r="I191" s="870"/>
      <c r="J191" s="865"/>
      <c r="K191" s="865"/>
      <c r="L191" s="865"/>
      <c r="M191" s="865"/>
      <c r="N191" s="865"/>
      <c r="O191" s="865"/>
      <c r="P191" s="865"/>
    </row>
    <row r="192" spans="2:16" s="869" customFormat="1" ht="21.75" customHeight="1" x14ac:dyDescent="0.25">
      <c r="B192" s="863"/>
      <c r="C192" s="981"/>
      <c r="D192" s="933" t="s">
        <v>425</v>
      </c>
      <c r="E192" s="926">
        <v>2396500000</v>
      </c>
      <c r="F192" s="1029">
        <v>389351314600</v>
      </c>
      <c r="G192" s="927">
        <f t="shared" si="2"/>
        <v>0.61551095633567954</v>
      </c>
      <c r="H192" s="870"/>
      <c r="I192" s="870"/>
      <c r="J192" s="865"/>
      <c r="K192" s="865"/>
      <c r="L192" s="865"/>
      <c r="M192" s="865"/>
      <c r="N192" s="865"/>
      <c r="O192" s="865"/>
      <c r="P192" s="865"/>
    </row>
    <row r="193" spans="2:16" s="869" customFormat="1" ht="38.25" customHeight="1" x14ac:dyDescent="0.25">
      <c r="B193" s="863"/>
      <c r="C193" s="981"/>
      <c r="D193" s="929" t="s">
        <v>4353</v>
      </c>
      <c r="E193" s="930">
        <v>2396500000</v>
      </c>
      <c r="F193" s="1029">
        <v>389351314600</v>
      </c>
      <c r="G193" s="927">
        <f t="shared" si="2"/>
        <v>0.61551095633567954</v>
      </c>
      <c r="H193" s="870"/>
      <c r="I193" s="870"/>
      <c r="J193" s="865"/>
      <c r="K193" s="865"/>
      <c r="L193" s="865"/>
      <c r="M193" s="865"/>
      <c r="N193" s="865"/>
      <c r="O193" s="865"/>
      <c r="P193" s="865"/>
    </row>
    <row r="194" spans="2:16" s="869" customFormat="1" ht="21.75" customHeight="1" x14ac:dyDescent="0.25">
      <c r="B194" s="863"/>
      <c r="C194" s="981"/>
      <c r="D194" s="929"/>
      <c r="E194" s="932"/>
      <c r="F194" s="1029"/>
      <c r="G194" s="927"/>
      <c r="H194" s="870"/>
      <c r="I194" s="870"/>
      <c r="J194" s="865"/>
      <c r="K194" s="865"/>
      <c r="L194" s="865"/>
      <c r="M194" s="865"/>
      <c r="N194" s="865"/>
      <c r="O194" s="865"/>
      <c r="P194" s="865"/>
    </row>
    <row r="195" spans="2:16" s="869" customFormat="1" ht="21.75" customHeight="1" x14ac:dyDescent="0.25">
      <c r="B195" s="863"/>
      <c r="C195" s="981"/>
      <c r="D195" s="933" t="s">
        <v>429</v>
      </c>
      <c r="E195" s="931">
        <f>+E196+E198+E200+E203</f>
        <v>4000000000</v>
      </c>
      <c r="F195" s="1029">
        <v>389351314600</v>
      </c>
      <c r="G195" s="927">
        <f t="shared" si="2"/>
        <v>1.0273498123691709</v>
      </c>
      <c r="H195" s="870"/>
      <c r="I195" s="870"/>
      <c r="J195" s="865"/>
      <c r="K195" s="865"/>
      <c r="L195" s="865"/>
      <c r="M195" s="865"/>
      <c r="N195" s="865"/>
      <c r="O195" s="865"/>
      <c r="P195" s="865"/>
    </row>
    <row r="196" spans="2:16" s="869" customFormat="1" ht="21.75" customHeight="1" x14ac:dyDescent="0.25">
      <c r="B196" s="863"/>
      <c r="C196" s="981"/>
      <c r="D196" s="933" t="s">
        <v>430</v>
      </c>
      <c r="E196" s="930">
        <v>428000000</v>
      </c>
      <c r="F196" s="1029">
        <v>389351314600</v>
      </c>
      <c r="G196" s="927">
        <f t="shared" si="2"/>
        <v>0.10992642992350128</v>
      </c>
      <c r="H196" s="870"/>
      <c r="I196" s="870"/>
      <c r="J196" s="865"/>
      <c r="K196" s="865"/>
      <c r="L196" s="865"/>
      <c r="M196" s="865"/>
      <c r="N196" s="865"/>
      <c r="O196" s="865"/>
      <c r="P196" s="865"/>
    </row>
    <row r="197" spans="2:16" s="869" customFormat="1" ht="21.75" customHeight="1" x14ac:dyDescent="0.25">
      <c r="B197" s="863"/>
      <c r="C197" s="981"/>
      <c r="D197" s="929" t="s">
        <v>433</v>
      </c>
      <c r="E197" s="930">
        <v>428000000</v>
      </c>
      <c r="F197" s="1029">
        <v>389351314600</v>
      </c>
      <c r="G197" s="927">
        <f t="shared" si="2"/>
        <v>0.10992642992350128</v>
      </c>
      <c r="H197" s="870"/>
      <c r="I197" s="870"/>
      <c r="J197" s="865"/>
      <c r="K197" s="865"/>
      <c r="L197" s="865"/>
      <c r="M197" s="865"/>
      <c r="N197" s="865"/>
      <c r="O197" s="865"/>
      <c r="P197" s="865"/>
    </row>
    <row r="198" spans="2:16" s="869" customFormat="1" ht="21.75" customHeight="1" x14ac:dyDescent="0.25">
      <c r="B198" s="863"/>
      <c r="C198" s="981"/>
      <c r="D198" s="933" t="s">
        <v>436</v>
      </c>
      <c r="E198" s="930">
        <v>2714000000</v>
      </c>
      <c r="F198" s="1029">
        <v>389351314600</v>
      </c>
      <c r="G198" s="927">
        <f t="shared" si="2"/>
        <v>0.69705684769248244</v>
      </c>
      <c r="H198" s="870"/>
      <c r="I198" s="870"/>
      <c r="J198" s="865"/>
      <c r="K198" s="865"/>
      <c r="L198" s="865"/>
      <c r="M198" s="865"/>
      <c r="N198" s="865"/>
      <c r="O198" s="865"/>
      <c r="P198" s="865"/>
    </row>
    <row r="199" spans="2:16" s="869" customFormat="1" ht="21.75" customHeight="1" x14ac:dyDescent="0.25">
      <c r="B199" s="863"/>
      <c r="C199" s="981"/>
      <c r="D199" s="929" t="s">
        <v>4354</v>
      </c>
      <c r="E199" s="930">
        <v>2714000000</v>
      </c>
      <c r="F199" s="1029">
        <v>389351314600</v>
      </c>
      <c r="G199" s="927">
        <f t="shared" si="2"/>
        <v>0.69705684769248244</v>
      </c>
      <c r="H199" s="870"/>
      <c r="I199" s="870"/>
      <c r="J199" s="865"/>
      <c r="K199" s="865"/>
      <c r="L199" s="865"/>
      <c r="M199" s="865"/>
      <c r="N199" s="865"/>
      <c r="O199" s="865"/>
      <c r="P199" s="865"/>
    </row>
    <row r="200" spans="2:16" s="869" customFormat="1" ht="21.75" customHeight="1" x14ac:dyDescent="0.25">
      <c r="B200" s="863"/>
      <c r="C200" s="981"/>
      <c r="D200" s="933" t="s">
        <v>441</v>
      </c>
      <c r="E200" s="930">
        <v>429334000</v>
      </c>
      <c r="F200" s="1029">
        <v>389351314600</v>
      </c>
      <c r="G200" s="927">
        <f t="shared" si="2"/>
        <v>0.11026905108592638</v>
      </c>
      <c r="H200" s="870"/>
      <c r="I200" s="870"/>
      <c r="J200" s="865"/>
      <c r="K200" s="865"/>
      <c r="L200" s="865"/>
      <c r="M200" s="865"/>
      <c r="N200" s="865"/>
      <c r="O200" s="865"/>
      <c r="P200" s="865"/>
    </row>
    <row r="201" spans="2:16" s="869" customFormat="1" ht="21.75" customHeight="1" x14ac:dyDescent="0.25">
      <c r="B201" s="863"/>
      <c r="C201" s="981"/>
      <c r="D201" s="929" t="s">
        <v>442</v>
      </c>
      <c r="E201" s="930">
        <v>300000000</v>
      </c>
      <c r="F201" s="1029">
        <v>389351314600</v>
      </c>
      <c r="G201" s="927">
        <f t="shared" si="2"/>
        <v>7.7051235927687811E-2</v>
      </c>
      <c r="H201" s="870"/>
      <c r="I201" s="870"/>
      <c r="J201" s="865"/>
      <c r="K201" s="865"/>
      <c r="L201" s="865"/>
      <c r="M201" s="865"/>
      <c r="N201" s="865"/>
      <c r="O201" s="865"/>
      <c r="P201" s="865"/>
    </row>
    <row r="202" spans="2:16" s="869" customFormat="1" ht="21.75" customHeight="1" x14ac:dyDescent="0.25">
      <c r="B202" s="863"/>
      <c r="C202" s="981"/>
      <c r="D202" s="929" t="s">
        <v>4355</v>
      </c>
      <c r="E202" s="930">
        <v>129334000</v>
      </c>
      <c r="F202" s="1029">
        <v>389351314600</v>
      </c>
      <c r="G202" s="927">
        <f t="shared" si="2"/>
        <v>3.3217815158238587E-2</v>
      </c>
      <c r="H202" s="870"/>
      <c r="I202" s="870"/>
      <c r="J202" s="865"/>
      <c r="K202" s="865"/>
      <c r="L202" s="865"/>
      <c r="M202" s="865"/>
      <c r="N202" s="865"/>
      <c r="O202" s="865"/>
      <c r="P202" s="865"/>
    </row>
    <row r="203" spans="2:16" s="869" customFormat="1" ht="21.75" customHeight="1" x14ac:dyDescent="0.25">
      <c r="B203" s="863"/>
      <c r="C203" s="981"/>
      <c r="D203" s="933" t="s">
        <v>447</v>
      </c>
      <c r="E203" s="930">
        <v>428666000</v>
      </c>
      <c r="F203" s="1029">
        <v>389351314600</v>
      </c>
      <c r="G203" s="927">
        <f t="shared" si="2"/>
        <v>0.11009748366726076</v>
      </c>
      <c r="H203" s="870"/>
      <c r="I203" s="870"/>
      <c r="J203" s="865"/>
      <c r="K203" s="865"/>
      <c r="L203" s="865"/>
      <c r="M203" s="865"/>
      <c r="N203" s="865"/>
      <c r="O203" s="865"/>
      <c r="P203" s="865"/>
    </row>
    <row r="204" spans="2:16" s="869" customFormat="1" ht="21.75" customHeight="1" x14ac:dyDescent="0.25">
      <c r="B204" s="863"/>
      <c r="C204" s="981"/>
      <c r="D204" s="929" t="s">
        <v>4356</v>
      </c>
      <c r="E204" s="930">
        <v>428666000</v>
      </c>
      <c r="F204" s="1029">
        <v>389351314600</v>
      </c>
      <c r="G204" s="927">
        <f t="shared" si="2"/>
        <v>0.11009748366726076</v>
      </c>
      <c r="H204" s="870"/>
      <c r="I204" s="870"/>
      <c r="J204" s="865"/>
      <c r="K204" s="865"/>
      <c r="L204" s="865"/>
      <c r="M204" s="865"/>
      <c r="N204" s="865"/>
      <c r="O204" s="865"/>
      <c r="P204" s="865"/>
    </row>
    <row r="205" spans="2:16" s="869" customFormat="1" ht="21.75" customHeight="1" x14ac:dyDescent="0.25">
      <c r="B205" s="863"/>
      <c r="C205" s="981"/>
      <c r="D205" s="929"/>
      <c r="E205" s="932"/>
      <c r="F205" s="1029">
        <v>389351314600</v>
      </c>
      <c r="G205" s="927">
        <f t="shared" si="2"/>
        <v>0</v>
      </c>
      <c r="H205" s="870"/>
      <c r="I205" s="870"/>
      <c r="J205" s="865"/>
      <c r="K205" s="865"/>
      <c r="L205" s="865"/>
      <c r="M205" s="865"/>
      <c r="N205" s="865"/>
      <c r="O205" s="865"/>
      <c r="P205" s="865"/>
    </row>
    <row r="206" spans="2:16" s="869" customFormat="1" ht="21.75" customHeight="1" x14ac:dyDescent="0.25">
      <c r="B206" s="863"/>
      <c r="C206" s="981"/>
      <c r="D206" s="964" t="s">
        <v>450</v>
      </c>
      <c r="E206" s="931">
        <f>+E207+E210+E212</f>
        <v>7000000000</v>
      </c>
      <c r="F206" s="1029">
        <v>389351314600</v>
      </c>
      <c r="G206" s="927">
        <f t="shared" si="2"/>
        <v>1.7978621716460488</v>
      </c>
      <c r="H206" s="870"/>
      <c r="I206" s="870"/>
      <c r="J206" s="865"/>
      <c r="K206" s="865"/>
      <c r="L206" s="865"/>
      <c r="M206" s="865"/>
      <c r="N206" s="865"/>
      <c r="O206" s="865"/>
      <c r="P206" s="865"/>
    </row>
    <row r="207" spans="2:16" s="869" customFormat="1" ht="21.75" customHeight="1" x14ac:dyDescent="0.25">
      <c r="B207" s="863"/>
      <c r="C207" s="981"/>
      <c r="D207" s="933" t="s">
        <v>319</v>
      </c>
      <c r="E207" s="926">
        <v>5993675000</v>
      </c>
      <c r="F207" s="1029">
        <v>389351314600</v>
      </c>
      <c r="G207" s="927">
        <f t="shared" si="2"/>
        <v>1.5394002216629474</v>
      </c>
      <c r="H207" s="870"/>
      <c r="I207" s="870"/>
      <c r="J207" s="865"/>
      <c r="K207" s="865"/>
      <c r="L207" s="865"/>
      <c r="M207" s="865"/>
      <c r="N207" s="865"/>
      <c r="O207" s="865"/>
      <c r="P207" s="865"/>
    </row>
    <row r="208" spans="2:16" s="869" customFormat="1" ht="21.75" customHeight="1" x14ac:dyDescent="0.25">
      <c r="B208" s="863"/>
      <c r="C208" s="981"/>
      <c r="D208" s="929" t="s">
        <v>4357</v>
      </c>
      <c r="E208" s="930">
        <v>4871116776</v>
      </c>
      <c r="F208" s="1029">
        <v>389351314600</v>
      </c>
      <c r="G208" s="927">
        <f t="shared" si="2"/>
        <v>1.2510852264629799</v>
      </c>
      <c r="H208" s="870"/>
      <c r="I208" s="870"/>
      <c r="J208" s="865"/>
      <c r="K208" s="865"/>
      <c r="L208" s="865"/>
      <c r="M208" s="865"/>
      <c r="N208" s="865"/>
      <c r="O208" s="865"/>
      <c r="P208" s="865"/>
    </row>
    <row r="209" spans="2:16" s="869" customFormat="1" ht="21.75" customHeight="1" x14ac:dyDescent="0.25">
      <c r="B209" s="863"/>
      <c r="C209" s="981"/>
      <c r="D209" s="929" t="s">
        <v>2485</v>
      </c>
      <c r="E209" s="930">
        <v>1122558224</v>
      </c>
      <c r="F209" s="1029">
        <v>389351314600</v>
      </c>
      <c r="G209" s="927">
        <f t="shared" ref="G209:G272" si="3">E209/F209*100</f>
        <v>0.28831499519996739</v>
      </c>
      <c r="H209" s="870"/>
      <c r="I209" s="870"/>
      <c r="J209" s="865"/>
      <c r="K209" s="865"/>
      <c r="L209" s="865"/>
      <c r="M209" s="865"/>
      <c r="N209" s="865"/>
      <c r="O209" s="865"/>
      <c r="P209" s="865"/>
    </row>
    <row r="210" spans="2:16" s="869" customFormat="1" ht="21.75" customHeight="1" x14ac:dyDescent="0.25">
      <c r="B210" s="863"/>
      <c r="C210" s="981"/>
      <c r="D210" s="928" t="s">
        <v>464</v>
      </c>
      <c r="E210" s="926">
        <v>554325000</v>
      </c>
      <c r="F210" s="1029">
        <v>389351314600</v>
      </c>
      <c r="G210" s="927">
        <f t="shared" si="3"/>
        <v>0.14237142118538515</v>
      </c>
      <c r="H210" s="870"/>
      <c r="I210" s="870"/>
      <c r="J210" s="865"/>
      <c r="K210" s="865"/>
      <c r="L210" s="865"/>
      <c r="M210" s="865"/>
      <c r="N210" s="865"/>
      <c r="O210" s="865"/>
      <c r="P210" s="865"/>
    </row>
    <row r="211" spans="2:16" s="869" customFormat="1" ht="21.75" customHeight="1" x14ac:dyDescent="0.25">
      <c r="B211" s="863"/>
      <c r="C211" s="981"/>
      <c r="D211" s="929" t="s">
        <v>466</v>
      </c>
      <c r="E211" s="930">
        <v>554325000</v>
      </c>
      <c r="F211" s="1029">
        <v>389351314600</v>
      </c>
      <c r="G211" s="927">
        <f t="shared" si="3"/>
        <v>0.14237142118538515</v>
      </c>
      <c r="H211" s="870"/>
      <c r="I211" s="870"/>
      <c r="J211" s="865"/>
      <c r="K211" s="865"/>
      <c r="L211" s="865"/>
      <c r="M211" s="865"/>
      <c r="N211" s="865"/>
      <c r="O211" s="865"/>
      <c r="P211" s="865"/>
    </row>
    <row r="212" spans="2:16" s="869" customFormat="1" ht="21.75" customHeight="1" x14ac:dyDescent="0.25">
      <c r="B212" s="863"/>
      <c r="C212" s="981"/>
      <c r="D212" s="933" t="s">
        <v>472</v>
      </c>
      <c r="E212" s="926">
        <v>452000000</v>
      </c>
      <c r="F212" s="1029">
        <v>389351314600</v>
      </c>
      <c r="G212" s="927">
        <f t="shared" si="3"/>
        <v>0.11609052879771629</v>
      </c>
      <c r="H212" s="870"/>
      <c r="I212" s="870"/>
      <c r="J212" s="865"/>
      <c r="K212" s="865"/>
      <c r="L212" s="865"/>
      <c r="M212" s="865"/>
      <c r="N212" s="865"/>
      <c r="O212" s="865"/>
      <c r="P212" s="865"/>
    </row>
    <row r="213" spans="2:16" s="869" customFormat="1" ht="21.75" customHeight="1" x14ac:dyDescent="0.25">
      <c r="B213" s="863"/>
      <c r="C213" s="981"/>
      <c r="D213" s="929" t="s">
        <v>473</v>
      </c>
      <c r="E213" s="930">
        <v>452000000</v>
      </c>
      <c r="F213" s="1029">
        <v>389351314600</v>
      </c>
      <c r="G213" s="927">
        <f t="shared" si="3"/>
        <v>0.11609052879771629</v>
      </c>
      <c r="H213" s="870"/>
      <c r="I213" s="870"/>
      <c r="J213" s="865"/>
      <c r="K213" s="865"/>
      <c r="L213" s="865"/>
      <c r="M213" s="865"/>
      <c r="N213" s="865"/>
      <c r="O213" s="865"/>
      <c r="P213" s="865"/>
    </row>
    <row r="214" spans="2:16" s="869" customFormat="1" ht="21.75" customHeight="1" x14ac:dyDescent="0.25">
      <c r="B214" s="863"/>
      <c r="C214" s="981"/>
      <c r="D214" s="929"/>
      <c r="E214" s="930"/>
      <c r="F214" s="1029"/>
      <c r="G214" s="927"/>
      <c r="H214" s="870"/>
      <c r="I214" s="870"/>
      <c r="J214" s="865"/>
      <c r="K214" s="865"/>
      <c r="L214" s="865"/>
      <c r="M214" s="865"/>
      <c r="N214" s="865"/>
      <c r="O214" s="865"/>
      <c r="P214" s="865"/>
    </row>
    <row r="215" spans="2:16" s="869" customFormat="1" ht="21.75" customHeight="1" x14ac:dyDescent="0.25">
      <c r="B215" s="863"/>
      <c r="C215" s="981"/>
      <c r="D215" s="964" t="s">
        <v>485</v>
      </c>
      <c r="E215" s="931">
        <f>+E216+E219+E221+E223+E227</f>
        <v>4000000000</v>
      </c>
      <c r="F215" s="1029">
        <v>389351314600</v>
      </c>
      <c r="G215" s="927">
        <f t="shared" si="3"/>
        <v>1.0273498123691709</v>
      </c>
      <c r="H215" s="870"/>
      <c r="I215" s="870"/>
      <c r="J215" s="865"/>
      <c r="K215" s="865"/>
      <c r="L215" s="865"/>
      <c r="M215" s="865"/>
      <c r="N215" s="865"/>
      <c r="O215" s="865"/>
      <c r="P215" s="865"/>
    </row>
    <row r="216" spans="2:16" s="869" customFormat="1" ht="21.75" customHeight="1" x14ac:dyDescent="0.25">
      <c r="B216" s="863"/>
      <c r="C216" s="981"/>
      <c r="D216" s="933" t="s">
        <v>486</v>
      </c>
      <c r="E216" s="926">
        <v>586920000</v>
      </c>
      <c r="F216" s="1029">
        <v>389351314600</v>
      </c>
      <c r="G216" s="927">
        <f t="shared" si="3"/>
        <v>0.15074303796892843</v>
      </c>
      <c r="H216" s="870"/>
      <c r="I216" s="870"/>
      <c r="J216" s="865"/>
      <c r="K216" s="865"/>
      <c r="L216" s="865"/>
      <c r="M216" s="865"/>
      <c r="N216" s="865"/>
      <c r="O216" s="865"/>
      <c r="P216" s="865"/>
    </row>
    <row r="217" spans="2:16" s="869" customFormat="1" ht="21.75" customHeight="1" x14ac:dyDescent="0.25">
      <c r="B217" s="863"/>
      <c r="C217" s="981"/>
      <c r="D217" s="929" t="s">
        <v>487</v>
      </c>
      <c r="E217" s="930">
        <v>284050000</v>
      </c>
      <c r="F217" s="1029">
        <v>389351314600</v>
      </c>
      <c r="G217" s="927">
        <f t="shared" si="3"/>
        <v>7.2954678550865737E-2</v>
      </c>
      <c r="H217" s="870"/>
      <c r="I217" s="870"/>
      <c r="J217" s="865"/>
      <c r="K217" s="865"/>
      <c r="L217" s="865"/>
      <c r="M217" s="865"/>
      <c r="N217" s="865"/>
      <c r="O217" s="865"/>
      <c r="P217" s="865"/>
    </row>
    <row r="218" spans="2:16" s="869" customFormat="1" ht="21.75" customHeight="1" x14ac:dyDescent="0.25">
      <c r="B218" s="863"/>
      <c r="C218" s="981"/>
      <c r="D218" s="929" t="s">
        <v>488</v>
      </c>
      <c r="E218" s="930">
        <v>302870000</v>
      </c>
      <c r="F218" s="1029">
        <v>389351314600</v>
      </c>
      <c r="G218" s="927">
        <f t="shared" si="3"/>
        <v>7.7788359418062697E-2</v>
      </c>
      <c r="H218" s="870"/>
      <c r="I218" s="870"/>
      <c r="J218" s="865"/>
      <c r="K218" s="865"/>
      <c r="L218" s="865"/>
      <c r="M218" s="865"/>
      <c r="N218" s="865"/>
      <c r="O218" s="865"/>
      <c r="P218" s="865"/>
    </row>
    <row r="219" spans="2:16" s="869" customFormat="1" ht="21.75" customHeight="1" x14ac:dyDescent="0.25">
      <c r="B219" s="863"/>
      <c r="C219" s="981"/>
      <c r="D219" s="928" t="s">
        <v>464</v>
      </c>
      <c r="E219" s="926">
        <v>300000000</v>
      </c>
      <c r="F219" s="1029">
        <v>389351314600</v>
      </c>
      <c r="G219" s="927">
        <f t="shared" si="3"/>
        <v>7.7051235927687811E-2</v>
      </c>
      <c r="H219" s="870"/>
      <c r="I219" s="870"/>
      <c r="J219" s="865"/>
      <c r="K219" s="865"/>
      <c r="L219" s="865"/>
      <c r="M219" s="865"/>
      <c r="N219" s="865"/>
      <c r="O219" s="865"/>
      <c r="P219" s="865"/>
    </row>
    <row r="220" spans="2:16" s="869" customFormat="1" ht="21.75" customHeight="1" x14ac:dyDescent="0.25">
      <c r="B220" s="863"/>
      <c r="C220" s="981"/>
      <c r="D220" s="929" t="s">
        <v>493</v>
      </c>
      <c r="E220" s="930">
        <v>300000000</v>
      </c>
      <c r="F220" s="1029">
        <v>389351314600</v>
      </c>
      <c r="G220" s="927">
        <f t="shared" si="3"/>
        <v>7.7051235927687811E-2</v>
      </c>
      <c r="H220" s="870"/>
      <c r="I220" s="870"/>
      <c r="J220" s="865"/>
      <c r="K220" s="865"/>
      <c r="L220" s="865"/>
      <c r="M220" s="865"/>
      <c r="N220" s="865"/>
      <c r="O220" s="865"/>
      <c r="P220" s="865"/>
    </row>
    <row r="221" spans="2:16" s="869" customFormat="1" ht="21.75" customHeight="1" x14ac:dyDescent="0.25">
      <c r="B221" s="863"/>
      <c r="C221" s="981"/>
      <c r="D221" s="933" t="s">
        <v>468</v>
      </c>
      <c r="E221" s="926">
        <v>674300000</v>
      </c>
      <c r="F221" s="1029">
        <v>389351314600</v>
      </c>
      <c r="G221" s="927">
        <f t="shared" si="3"/>
        <v>0.17318549462013297</v>
      </c>
      <c r="H221" s="870"/>
      <c r="I221" s="870"/>
      <c r="J221" s="865"/>
      <c r="K221" s="865"/>
      <c r="L221" s="865"/>
      <c r="M221" s="865"/>
      <c r="N221" s="865"/>
      <c r="O221" s="865"/>
      <c r="P221" s="865"/>
    </row>
    <row r="222" spans="2:16" s="869" customFormat="1" ht="38.25" customHeight="1" x14ac:dyDescent="0.25">
      <c r="B222" s="863"/>
      <c r="C222" s="981"/>
      <c r="D222" s="929" t="s">
        <v>4358</v>
      </c>
      <c r="E222" s="930">
        <v>674300000</v>
      </c>
      <c r="F222" s="1029">
        <v>389351314600</v>
      </c>
      <c r="G222" s="927">
        <f t="shared" si="3"/>
        <v>0.17318549462013297</v>
      </c>
      <c r="H222" s="870"/>
      <c r="I222" s="870"/>
      <c r="J222" s="865"/>
      <c r="K222" s="865"/>
      <c r="L222" s="865"/>
      <c r="M222" s="865"/>
      <c r="N222" s="865"/>
      <c r="O222" s="865"/>
      <c r="P222" s="865"/>
    </row>
    <row r="223" spans="2:16" s="869" customFormat="1" ht="21.75" customHeight="1" x14ac:dyDescent="0.25">
      <c r="B223" s="863"/>
      <c r="C223" s="981"/>
      <c r="D223" s="933" t="s">
        <v>496</v>
      </c>
      <c r="E223" s="926">
        <v>1847800000</v>
      </c>
      <c r="F223" s="1029">
        <v>389351314600</v>
      </c>
      <c r="G223" s="927">
        <f t="shared" si="3"/>
        <v>0.47458424582393849</v>
      </c>
      <c r="H223" s="870"/>
      <c r="I223" s="870"/>
      <c r="J223" s="865"/>
      <c r="K223" s="865"/>
      <c r="L223" s="865"/>
      <c r="M223" s="865"/>
      <c r="N223" s="865"/>
      <c r="O223" s="865"/>
      <c r="P223" s="865"/>
    </row>
    <row r="224" spans="2:16" s="869" customFormat="1" ht="21.75" customHeight="1" x14ac:dyDescent="0.25">
      <c r="B224" s="863"/>
      <c r="C224" s="981"/>
      <c r="D224" s="929" t="s">
        <v>498</v>
      </c>
      <c r="E224" s="930">
        <v>500000000</v>
      </c>
      <c r="F224" s="1029">
        <v>389351314600</v>
      </c>
      <c r="G224" s="927">
        <f t="shared" si="3"/>
        <v>0.12841872654614636</v>
      </c>
      <c r="H224" s="870"/>
      <c r="I224" s="870"/>
      <c r="J224" s="865"/>
      <c r="K224" s="865"/>
      <c r="L224" s="865"/>
      <c r="M224" s="865"/>
      <c r="N224" s="865"/>
      <c r="O224" s="865"/>
      <c r="P224" s="865"/>
    </row>
    <row r="225" spans="2:16" s="869" customFormat="1" ht="21.75" customHeight="1" x14ac:dyDescent="0.25">
      <c r="B225" s="863"/>
      <c r="C225" s="981"/>
      <c r="D225" s="929" t="s">
        <v>502</v>
      </c>
      <c r="E225" s="930">
        <v>514200000</v>
      </c>
      <c r="F225" s="1029">
        <v>389351314600</v>
      </c>
      <c r="G225" s="927">
        <f t="shared" si="3"/>
        <v>0.1320658183800569</v>
      </c>
      <c r="H225" s="870"/>
      <c r="I225" s="870"/>
      <c r="J225" s="865"/>
      <c r="K225" s="865"/>
      <c r="L225" s="865"/>
      <c r="M225" s="865"/>
      <c r="N225" s="865"/>
      <c r="O225" s="865"/>
      <c r="P225" s="865"/>
    </row>
    <row r="226" spans="2:16" s="869" customFormat="1" ht="21.75" customHeight="1" x14ac:dyDescent="0.25">
      <c r="B226" s="863"/>
      <c r="C226" s="981"/>
      <c r="D226" s="929" t="s">
        <v>503</v>
      </c>
      <c r="E226" s="930">
        <v>833600000</v>
      </c>
      <c r="F226" s="1029">
        <v>389351314600</v>
      </c>
      <c r="G226" s="927">
        <f t="shared" si="3"/>
        <v>0.21409970089773517</v>
      </c>
      <c r="H226" s="870"/>
      <c r="I226" s="870"/>
      <c r="J226" s="865"/>
      <c r="K226" s="865"/>
      <c r="L226" s="865"/>
      <c r="M226" s="865"/>
      <c r="N226" s="865"/>
      <c r="O226" s="865"/>
      <c r="P226" s="865"/>
    </row>
    <row r="227" spans="2:16" s="869" customFormat="1" ht="21.75" customHeight="1" x14ac:dyDescent="0.25">
      <c r="B227" s="863"/>
      <c r="C227" s="981"/>
      <c r="D227" s="933" t="s">
        <v>472</v>
      </c>
      <c r="E227" s="926">
        <v>590980000</v>
      </c>
      <c r="F227" s="1029">
        <v>389351314600</v>
      </c>
      <c r="G227" s="927">
        <f t="shared" si="3"/>
        <v>0.15178579802848313</v>
      </c>
      <c r="H227" s="870"/>
      <c r="I227" s="870"/>
      <c r="J227" s="865"/>
      <c r="K227" s="865"/>
      <c r="L227" s="865"/>
      <c r="M227" s="865"/>
      <c r="N227" s="865"/>
      <c r="O227" s="865"/>
      <c r="P227" s="865"/>
    </row>
    <row r="228" spans="2:16" s="869" customFormat="1" ht="21.75" customHeight="1" x14ac:dyDescent="0.25">
      <c r="B228" s="863"/>
      <c r="C228" s="981"/>
      <c r="D228" s="929" t="s">
        <v>508</v>
      </c>
      <c r="E228" s="930">
        <v>590980000</v>
      </c>
      <c r="F228" s="1029">
        <v>389351314600</v>
      </c>
      <c r="G228" s="927">
        <f t="shared" si="3"/>
        <v>0.15178579802848313</v>
      </c>
      <c r="H228" s="870"/>
      <c r="I228" s="870"/>
      <c r="J228" s="865"/>
      <c r="K228" s="865"/>
      <c r="L228" s="865"/>
      <c r="M228" s="865"/>
      <c r="N228" s="865"/>
      <c r="O228" s="865"/>
      <c r="P228" s="865"/>
    </row>
    <row r="229" spans="2:16" s="869" customFormat="1" ht="21.75" customHeight="1" x14ac:dyDescent="0.25">
      <c r="B229" s="863"/>
      <c r="C229" s="981"/>
      <c r="D229" s="929"/>
      <c r="E229" s="932"/>
      <c r="F229" s="1029"/>
      <c r="G229" s="927"/>
      <c r="H229" s="870"/>
      <c r="I229" s="870"/>
      <c r="J229" s="865"/>
      <c r="K229" s="865"/>
      <c r="L229" s="865"/>
      <c r="M229" s="865"/>
      <c r="N229" s="865"/>
      <c r="O229" s="865"/>
      <c r="P229" s="865"/>
    </row>
    <row r="230" spans="2:16" s="869" customFormat="1" ht="21.75" customHeight="1" x14ac:dyDescent="0.25">
      <c r="B230" s="863"/>
      <c r="C230" s="981"/>
      <c r="D230" s="964" t="s">
        <v>509</v>
      </c>
      <c r="E230" s="931">
        <f>+E231+E235+E240+E242+E245+E247</f>
        <v>4000000000</v>
      </c>
      <c r="F230" s="1029">
        <v>389351314600</v>
      </c>
      <c r="G230" s="927">
        <f t="shared" si="3"/>
        <v>1.0273498123691709</v>
      </c>
      <c r="H230" s="870"/>
      <c r="I230" s="870"/>
      <c r="J230" s="865"/>
      <c r="K230" s="865"/>
      <c r="L230" s="865"/>
      <c r="M230" s="865"/>
      <c r="N230" s="865"/>
      <c r="O230" s="865"/>
      <c r="P230" s="865"/>
    </row>
    <row r="231" spans="2:16" s="869" customFormat="1" ht="21.75" customHeight="1" x14ac:dyDescent="0.25">
      <c r="B231" s="863"/>
      <c r="C231" s="981"/>
      <c r="D231" s="933" t="s">
        <v>512</v>
      </c>
      <c r="E231" s="926">
        <v>943000000</v>
      </c>
      <c r="F231" s="1029">
        <v>389351314600</v>
      </c>
      <c r="G231" s="927">
        <f t="shared" si="3"/>
        <v>0.24219771826603201</v>
      </c>
      <c r="H231" s="870"/>
      <c r="I231" s="870"/>
      <c r="J231" s="865"/>
      <c r="K231" s="865"/>
      <c r="L231" s="865"/>
      <c r="M231" s="865"/>
      <c r="N231" s="865"/>
      <c r="O231" s="865"/>
      <c r="P231" s="865"/>
    </row>
    <row r="232" spans="2:16" s="869" customFormat="1" ht="21.75" customHeight="1" x14ac:dyDescent="0.25">
      <c r="B232" s="863"/>
      <c r="C232" s="981"/>
      <c r="D232" s="929" t="s">
        <v>513</v>
      </c>
      <c r="E232" s="930">
        <v>187000000</v>
      </c>
      <c r="F232" s="1029">
        <v>389351314600</v>
      </c>
      <c r="G232" s="927">
        <f t="shared" si="3"/>
        <v>4.8028603728258734E-2</v>
      </c>
      <c r="H232" s="870"/>
      <c r="I232" s="870"/>
      <c r="J232" s="865"/>
      <c r="K232" s="865"/>
      <c r="L232" s="865"/>
      <c r="M232" s="865"/>
      <c r="N232" s="865"/>
      <c r="O232" s="865"/>
      <c r="P232" s="865"/>
    </row>
    <row r="233" spans="2:16" s="869" customFormat="1" ht="21.75" customHeight="1" x14ac:dyDescent="0.25">
      <c r="B233" s="863"/>
      <c r="C233" s="981"/>
      <c r="D233" s="929" t="s">
        <v>514</v>
      </c>
      <c r="E233" s="930">
        <v>646000000</v>
      </c>
      <c r="F233" s="1029">
        <v>389351314600</v>
      </c>
      <c r="G233" s="927">
        <f t="shared" si="3"/>
        <v>0.16591699469762108</v>
      </c>
      <c r="H233" s="870"/>
      <c r="I233" s="870"/>
      <c r="J233" s="865"/>
      <c r="K233" s="865"/>
      <c r="L233" s="865"/>
      <c r="M233" s="865"/>
      <c r="N233" s="865"/>
      <c r="O233" s="865"/>
      <c r="P233" s="865"/>
    </row>
    <row r="234" spans="2:16" s="869" customFormat="1" ht="38.25" customHeight="1" x14ac:dyDescent="0.25">
      <c r="B234" s="863"/>
      <c r="C234" s="981"/>
      <c r="D234" s="929" t="s">
        <v>516</v>
      </c>
      <c r="E234" s="930">
        <v>110000000</v>
      </c>
      <c r="F234" s="1029">
        <v>389351314600</v>
      </c>
      <c r="G234" s="927">
        <f t="shared" si="3"/>
        <v>2.8252119840152197E-2</v>
      </c>
      <c r="H234" s="870"/>
      <c r="I234" s="870"/>
      <c r="J234" s="865"/>
      <c r="K234" s="865"/>
      <c r="L234" s="865"/>
      <c r="M234" s="865"/>
      <c r="N234" s="865"/>
      <c r="O234" s="865"/>
      <c r="P234" s="865"/>
    </row>
    <row r="235" spans="2:16" s="869" customFormat="1" ht="21.75" customHeight="1" x14ac:dyDescent="0.25">
      <c r="B235" s="863"/>
      <c r="C235" s="981"/>
      <c r="D235" s="933" t="s">
        <v>517</v>
      </c>
      <c r="E235" s="926">
        <v>1731050000</v>
      </c>
      <c r="F235" s="1029">
        <v>389351314600</v>
      </c>
      <c r="G235" s="927">
        <f t="shared" si="3"/>
        <v>0.44459847317541329</v>
      </c>
      <c r="H235" s="870"/>
      <c r="I235" s="870"/>
      <c r="J235" s="865"/>
      <c r="K235" s="865"/>
      <c r="L235" s="865"/>
      <c r="M235" s="865"/>
      <c r="N235" s="865"/>
      <c r="O235" s="865"/>
      <c r="P235" s="865"/>
    </row>
    <row r="236" spans="2:16" s="869" customFormat="1" ht="21.75" customHeight="1" x14ac:dyDescent="0.25">
      <c r="B236" s="863"/>
      <c r="C236" s="981"/>
      <c r="D236" s="929" t="s">
        <v>519</v>
      </c>
      <c r="E236" s="930">
        <v>896000000</v>
      </c>
      <c r="F236" s="1029">
        <v>389351314600</v>
      </c>
      <c r="G236" s="927">
        <f t="shared" si="3"/>
        <v>0.23012635797069425</v>
      </c>
      <c r="H236" s="870"/>
      <c r="I236" s="870"/>
      <c r="J236" s="865"/>
      <c r="K236" s="865"/>
      <c r="L236" s="865"/>
      <c r="M236" s="865"/>
      <c r="N236" s="865"/>
      <c r="O236" s="865"/>
      <c r="P236" s="865"/>
    </row>
    <row r="237" spans="2:16" s="869" customFormat="1" ht="21.75" customHeight="1" x14ac:dyDescent="0.25">
      <c r="B237" s="863"/>
      <c r="C237" s="981"/>
      <c r="D237" s="929" t="s">
        <v>521</v>
      </c>
      <c r="E237" s="930">
        <v>360050000</v>
      </c>
      <c r="F237" s="1029">
        <v>389351314600</v>
      </c>
      <c r="G237" s="927">
        <f t="shared" si="3"/>
        <v>9.2474324985879985E-2</v>
      </c>
      <c r="H237" s="870"/>
      <c r="I237" s="870"/>
      <c r="J237" s="865"/>
      <c r="K237" s="865"/>
      <c r="L237" s="865"/>
      <c r="M237" s="865"/>
      <c r="N237" s="865"/>
      <c r="O237" s="865"/>
      <c r="P237" s="865"/>
    </row>
    <row r="238" spans="2:16" s="869" customFormat="1" ht="21.75" customHeight="1" x14ac:dyDescent="0.25">
      <c r="B238" s="863"/>
      <c r="C238" s="981"/>
      <c r="D238" s="929" t="s">
        <v>522</v>
      </c>
      <c r="E238" s="930">
        <v>186000000</v>
      </c>
      <c r="F238" s="1029">
        <v>389351314600</v>
      </c>
      <c r="G238" s="927">
        <f t="shared" si="3"/>
        <v>4.7771766275166445E-2</v>
      </c>
      <c r="H238" s="870"/>
      <c r="I238" s="870"/>
      <c r="J238" s="865"/>
      <c r="K238" s="865"/>
      <c r="L238" s="865"/>
      <c r="M238" s="865"/>
      <c r="N238" s="865"/>
      <c r="O238" s="865"/>
      <c r="P238" s="865"/>
    </row>
    <row r="239" spans="2:16" s="869" customFormat="1" ht="21.75" customHeight="1" x14ac:dyDescent="0.25">
      <c r="B239" s="863"/>
      <c r="C239" s="981"/>
      <c r="D239" s="929" t="s">
        <v>523</v>
      </c>
      <c r="E239" s="930">
        <v>289000000</v>
      </c>
      <c r="F239" s="1029">
        <v>389351314600</v>
      </c>
      <c r="G239" s="927">
        <f t="shared" si="3"/>
        <v>7.4226023943672587E-2</v>
      </c>
      <c r="H239" s="870"/>
      <c r="I239" s="870"/>
      <c r="J239" s="865"/>
      <c r="K239" s="865"/>
      <c r="L239" s="865"/>
      <c r="M239" s="865"/>
      <c r="N239" s="865"/>
      <c r="O239" s="865"/>
      <c r="P239" s="865"/>
    </row>
    <row r="240" spans="2:16" s="869" customFormat="1" ht="21.75" customHeight="1" x14ac:dyDescent="0.25">
      <c r="B240" s="863"/>
      <c r="C240" s="981"/>
      <c r="D240" s="933" t="s">
        <v>524</v>
      </c>
      <c r="E240" s="926">
        <v>148500000</v>
      </c>
      <c r="F240" s="1029">
        <v>389351314600</v>
      </c>
      <c r="G240" s="927">
        <f t="shared" si="3"/>
        <v>3.8140361784205469E-2</v>
      </c>
      <c r="H240" s="870"/>
      <c r="I240" s="870"/>
      <c r="J240" s="865"/>
      <c r="K240" s="865"/>
      <c r="L240" s="865"/>
      <c r="M240" s="865"/>
      <c r="N240" s="865"/>
      <c r="O240" s="865"/>
      <c r="P240" s="865"/>
    </row>
    <row r="241" spans="2:16" s="869" customFormat="1" ht="21.75" customHeight="1" x14ac:dyDescent="0.25">
      <c r="B241" s="863"/>
      <c r="C241" s="981"/>
      <c r="D241" s="929" t="s">
        <v>4515</v>
      </c>
      <c r="E241" s="930">
        <v>148500000</v>
      </c>
      <c r="F241" s="1029">
        <v>389351314600</v>
      </c>
      <c r="G241" s="927">
        <f t="shared" si="3"/>
        <v>3.8140361784205469E-2</v>
      </c>
      <c r="H241" s="870"/>
      <c r="I241" s="870"/>
      <c r="J241" s="865"/>
      <c r="K241" s="865"/>
      <c r="L241" s="865"/>
      <c r="M241" s="865"/>
      <c r="N241" s="865"/>
      <c r="O241" s="865"/>
      <c r="P241" s="865"/>
    </row>
    <row r="242" spans="2:16" s="869" customFormat="1" ht="21.75" customHeight="1" x14ac:dyDescent="0.25">
      <c r="B242" s="863"/>
      <c r="C242" s="981"/>
      <c r="D242" s="933" t="s">
        <v>472</v>
      </c>
      <c r="E242" s="926">
        <v>719150000</v>
      </c>
      <c r="F242" s="1029">
        <v>389351314600</v>
      </c>
      <c r="G242" s="927">
        <f t="shared" si="3"/>
        <v>0.1847046543913223</v>
      </c>
      <c r="H242" s="870"/>
      <c r="I242" s="870"/>
      <c r="J242" s="865"/>
      <c r="K242" s="865"/>
      <c r="L242" s="865"/>
      <c r="M242" s="865"/>
      <c r="N242" s="865"/>
      <c r="O242" s="865"/>
      <c r="P242" s="865"/>
    </row>
    <row r="243" spans="2:16" s="869" customFormat="1" ht="21.75" customHeight="1" x14ac:dyDescent="0.25">
      <c r="B243" s="863"/>
      <c r="C243" s="981"/>
      <c r="D243" s="929" t="s">
        <v>505</v>
      </c>
      <c r="E243" s="930">
        <v>457900000</v>
      </c>
      <c r="F243" s="1029">
        <v>389351314600</v>
      </c>
      <c r="G243" s="927">
        <f t="shared" si="3"/>
        <v>0.11760586977096082</v>
      </c>
      <c r="H243" s="870"/>
      <c r="I243" s="870"/>
      <c r="J243" s="865"/>
      <c r="K243" s="865"/>
      <c r="L243" s="865"/>
      <c r="M243" s="865"/>
      <c r="N243" s="865"/>
      <c r="O243" s="865"/>
      <c r="P243" s="865"/>
    </row>
    <row r="244" spans="2:16" s="869" customFormat="1" ht="21.75" customHeight="1" x14ac:dyDescent="0.25">
      <c r="B244" s="863"/>
      <c r="C244" s="981"/>
      <c r="D244" s="929" t="s">
        <v>473</v>
      </c>
      <c r="E244" s="930">
        <v>261250000</v>
      </c>
      <c r="F244" s="1029">
        <v>389351314600</v>
      </c>
      <c r="G244" s="927">
        <f t="shared" si="3"/>
        <v>6.7098784620361479E-2</v>
      </c>
      <c r="H244" s="870"/>
      <c r="I244" s="870"/>
      <c r="J244" s="865"/>
      <c r="K244" s="865"/>
      <c r="L244" s="865"/>
      <c r="M244" s="865"/>
      <c r="N244" s="865"/>
      <c r="O244" s="865"/>
      <c r="P244" s="865"/>
    </row>
    <row r="245" spans="2:16" s="869" customFormat="1" ht="21.75" customHeight="1" x14ac:dyDescent="0.25">
      <c r="B245" s="863"/>
      <c r="C245" s="981"/>
      <c r="D245" s="928" t="s">
        <v>526</v>
      </c>
      <c r="E245" s="926">
        <v>158300000</v>
      </c>
      <c r="F245" s="1029">
        <v>389351314600</v>
      </c>
      <c r="G245" s="927">
        <f t="shared" si="3"/>
        <v>4.0657368824509932E-2</v>
      </c>
      <c r="H245" s="870"/>
      <c r="I245" s="870"/>
      <c r="J245" s="865"/>
      <c r="K245" s="865"/>
      <c r="L245" s="865"/>
      <c r="M245" s="865"/>
      <c r="N245" s="865"/>
      <c r="O245" s="865"/>
      <c r="P245" s="865"/>
    </row>
    <row r="246" spans="2:16" s="869" customFormat="1" ht="21.75" customHeight="1" x14ac:dyDescent="0.25">
      <c r="B246" s="863"/>
      <c r="C246" s="981"/>
      <c r="D246" s="929" t="s">
        <v>527</v>
      </c>
      <c r="E246" s="930">
        <v>158300000</v>
      </c>
      <c r="F246" s="1029">
        <v>389351314600</v>
      </c>
      <c r="G246" s="927">
        <f t="shared" si="3"/>
        <v>4.0657368824509932E-2</v>
      </c>
      <c r="H246" s="870"/>
      <c r="I246" s="870"/>
      <c r="J246" s="865"/>
      <c r="K246" s="865"/>
      <c r="L246" s="865"/>
      <c r="M246" s="865"/>
      <c r="N246" s="865"/>
      <c r="O246" s="865"/>
      <c r="P246" s="865"/>
    </row>
    <row r="247" spans="2:16" s="869" customFormat="1" ht="21.75" customHeight="1" x14ac:dyDescent="0.25">
      <c r="B247" s="863"/>
      <c r="C247" s="981"/>
      <c r="D247" s="933" t="s">
        <v>4359</v>
      </c>
      <c r="E247" s="926">
        <v>300000000</v>
      </c>
      <c r="F247" s="1029">
        <v>389351314600</v>
      </c>
      <c r="G247" s="927">
        <f t="shared" si="3"/>
        <v>7.7051235927687811E-2</v>
      </c>
      <c r="H247" s="870"/>
      <c r="I247" s="870"/>
      <c r="J247" s="865"/>
      <c r="K247" s="865"/>
      <c r="L247" s="865"/>
      <c r="M247" s="865"/>
      <c r="N247" s="865"/>
      <c r="O247" s="865"/>
      <c r="P247" s="865"/>
    </row>
    <row r="248" spans="2:16" s="869" customFormat="1" ht="21.75" customHeight="1" x14ac:dyDescent="0.25">
      <c r="B248" s="863"/>
      <c r="C248" s="981"/>
      <c r="D248" s="929" t="s">
        <v>4360</v>
      </c>
      <c r="E248" s="930">
        <v>300000000</v>
      </c>
      <c r="F248" s="1029">
        <v>389351314600</v>
      </c>
      <c r="G248" s="927">
        <f t="shared" si="3"/>
        <v>7.7051235927687811E-2</v>
      </c>
      <c r="H248" s="870"/>
      <c r="I248" s="870"/>
      <c r="J248" s="865"/>
      <c r="K248" s="865"/>
      <c r="L248" s="865"/>
      <c r="M248" s="865"/>
      <c r="N248" s="865"/>
      <c r="O248" s="865"/>
      <c r="P248" s="865"/>
    </row>
    <row r="249" spans="2:16" s="869" customFormat="1" ht="21.75" customHeight="1" x14ac:dyDescent="0.25">
      <c r="B249" s="863"/>
      <c r="C249" s="981"/>
      <c r="D249" s="929"/>
      <c r="E249" s="932"/>
      <c r="F249" s="1029">
        <v>389351314600</v>
      </c>
      <c r="G249" s="927">
        <f t="shared" si="3"/>
        <v>0</v>
      </c>
      <c r="H249" s="870"/>
      <c r="I249" s="870"/>
      <c r="J249" s="865"/>
      <c r="K249" s="865"/>
      <c r="L249" s="865"/>
      <c r="M249" s="865"/>
      <c r="N249" s="865"/>
      <c r="O249" s="865"/>
      <c r="P249" s="865"/>
    </row>
    <row r="250" spans="2:16" s="869" customFormat="1" ht="21.75" customHeight="1" x14ac:dyDescent="0.25">
      <c r="B250" s="863"/>
      <c r="C250" s="981"/>
      <c r="D250" s="964" t="s">
        <v>530</v>
      </c>
      <c r="E250" s="931">
        <f>+E251+E253+E256+E260+E263</f>
        <v>7000000000</v>
      </c>
      <c r="F250" s="1029">
        <v>389351314600</v>
      </c>
      <c r="G250" s="927">
        <f t="shared" si="3"/>
        <v>1.7978621716460488</v>
      </c>
      <c r="H250" s="870"/>
      <c r="I250" s="870"/>
      <c r="J250" s="865"/>
      <c r="K250" s="865"/>
      <c r="L250" s="865"/>
      <c r="M250" s="865"/>
      <c r="N250" s="865"/>
      <c r="O250" s="865"/>
      <c r="P250" s="865"/>
    </row>
    <row r="251" spans="2:16" s="869" customFormat="1" ht="21.75" customHeight="1" x14ac:dyDescent="0.25">
      <c r="B251" s="863"/>
      <c r="C251" s="981"/>
      <c r="D251" s="933" t="s">
        <v>531</v>
      </c>
      <c r="E251" s="926">
        <v>300000000</v>
      </c>
      <c r="F251" s="1029">
        <v>389351314600</v>
      </c>
      <c r="G251" s="927">
        <f t="shared" si="3"/>
        <v>7.7051235927687811E-2</v>
      </c>
      <c r="H251" s="870"/>
      <c r="I251" s="870"/>
      <c r="J251" s="865"/>
      <c r="K251" s="865"/>
      <c r="L251" s="865"/>
      <c r="M251" s="865"/>
      <c r="N251" s="865"/>
      <c r="O251" s="865"/>
      <c r="P251" s="865"/>
    </row>
    <row r="252" spans="2:16" s="869" customFormat="1" ht="21.75" customHeight="1" x14ac:dyDescent="0.25">
      <c r="B252" s="863"/>
      <c r="C252" s="981"/>
      <c r="D252" s="929" t="s">
        <v>534</v>
      </c>
      <c r="E252" s="930">
        <v>300000000</v>
      </c>
      <c r="F252" s="1029">
        <v>389351314600</v>
      </c>
      <c r="G252" s="927">
        <f t="shared" si="3"/>
        <v>7.7051235927687811E-2</v>
      </c>
      <c r="H252" s="870"/>
      <c r="I252" s="870"/>
      <c r="J252" s="865"/>
      <c r="K252" s="865"/>
      <c r="L252" s="865"/>
      <c r="M252" s="865"/>
      <c r="N252" s="865"/>
      <c r="O252" s="865"/>
      <c r="P252" s="865"/>
    </row>
    <row r="253" spans="2:16" s="869" customFormat="1" ht="21.75" customHeight="1" x14ac:dyDescent="0.25">
      <c r="B253" s="863"/>
      <c r="C253" s="981"/>
      <c r="D253" s="933" t="s">
        <v>536</v>
      </c>
      <c r="E253" s="926">
        <v>2500000000</v>
      </c>
      <c r="F253" s="1029">
        <v>389351314600</v>
      </c>
      <c r="G253" s="927">
        <f t="shared" si="3"/>
        <v>0.64209363273073183</v>
      </c>
      <c r="H253" s="870"/>
      <c r="I253" s="870"/>
      <c r="J253" s="865"/>
      <c r="K253" s="865"/>
      <c r="L253" s="865"/>
      <c r="M253" s="865"/>
      <c r="N253" s="865"/>
      <c r="O253" s="865"/>
      <c r="P253" s="865"/>
    </row>
    <row r="254" spans="2:16" s="869" customFormat="1" ht="21.75" customHeight="1" x14ac:dyDescent="0.25">
      <c r="B254" s="863"/>
      <c r="C254" s="981"/>
      <c r="D254" s="929" t="s">
        <v>4361</v>
      </c>
      <c r="E254" s="930">
        <v>1500000000</v>
      </c>
      <c r="F254" s="1029">
        <v>389351314600</v>
      </c>
      <c r="G254" s="927">
        <f t="shared" si="3"/>
        <v>0.38525617963843906</v>
      </c>
      <c r="H254" s="870"/>
      <c r="I254" s="870"/>
      <c r="J254" s="865"/>
      <c r="K254" s="865"/>
      <c r="L254" s="865"/>
      <c r="M254" s="865"/>
      <c r="N254" s="865"/>
      <c r="O254" s="865"/>
      <c r="P254" s="865"/>
    </row>
    <row r="255" spans="2:16" s="869" customFormat="1" ht="21.75" customHeight="1" x14ac:dyDescent="0.25">
      <c r="B255" s="863"/>
      <c r="C255" s="981"/>
      <c r="D255" s="929" t="s">
        <v>4362</v>
      </c>
      <c r="E255" s="930">
        <v>1000000000</v>
      </c>
      <c r="F255" s="1029">
        <v>389351314600</v>
      </c>
      <c r="G255" s="927">
        <f t="shared" si="3"/>
        <v>0.25683745309229272</v>
      </c>
      <c r="H255" s="870"/>
      <c r="I255" s="870"/>
      <c r="J255" s="865"/>
      <c r="K255" s="865"/>
      <c r="L255" s="865"/>
      <c r="M255" s="865"/>
      <c r="N255" s="865"/>
      <c r="O255" s="865"/>
      <c r="P255" s="865"/>
    </row>
    <row r="256" spans="2:16" s="869" customFormat="1" ht="21.75" customHeight="1" x14ac:dyDescent="0.25">
      <c r="B256" s="863"/>
      <c r="C256" s="981"/>
      <c r="D256" s="933" t="s">
        <v>540</v>
      </c>
      <c r="E256" s="926">
        <v>2500000000</v>
      </c>
      <c r="F256" s="1029">
        <v>389351314600</v>
      </c>
      <c r="G256" s="927">
        <f t="shared" si="3"/>
        <v>0.64209363273073183</v>
      </c>
      <c r="H256" s="870"/>
      <c r="I256" s="870"/>
      <c r="J256" s="865"/>
      <c r="K256" s="865"/>
      <c r="L256" s="865"/>
      <c r="M256" s="865"/>
      <c r="N256" s="865"/>
      <c r="O256" s="865"/>
      <c r="P256" s="865"/>
    </row>
    <row r="257" spans="2:16" s="869" customFormat="1" ht="21.75" customHeight="1" x14ac:dyDescent="0.25">
      <c r="B257" s="863"/>
      <c r="C257" s="981"/>
      <c r="D257" s="929" t="s">
        <v>4363</v>
      </c>
      <c r="E257" s="930">
        <v>750000000</v>
      </c>
      <c r="F257" s="1029">
        <v>389351314600</v>
      </c>
      <c r="G257" s="927">
        <f t="shared" si="3"/>
        <v>0.19262808981921953</v>
      </c>
      <c r="H257" s="870"/>
      <c r="I257" s="870"/>
      <c r="J257" s="865"/>
      <c r="K257" s="865"/>
      <c r="L257" s="865"/>
      <c r="M257" s="865"/>
      <c r="N257" s="865"/>
      <c r="O257" s="865"/>
      <c r="P257" s="865"/>
    </row>
    <row r="258" spans="2:16" s="869" customFormat="1" ht="21.75" customHeight="1" x14ac:dyDescent="0.25">
      <c r="B258" s="863"/>
      <c r="C258" s="981"/>
      <c r="D258" s="929" t="s">
        <v>4364</v>
      </c>
      <c r="E258" s="930">
        <v>750000000</v>
      </c>
      <c r="F258" s="1029">
        <v>389351314600</v>
      </c>
      <c r="G258" s="927">
        <f t="shared" si="3"/>
        <v>0.19262808981921953</v>
      </c>
      <c r="H258" s="870"/>
      <c r="I258" s="870"/>
      <c r="J258" s="865"/>
      <c r="K258" s="865"/>
      <c r="L258" s="865"/>
      <c r="M258" s="865"/>
      <c r="N258" s="865"/>
      <c r="O258" s="865"/>
      <c r="P258" s="865"/>
    </row>
    <row r="259" spans="2:16" s="869" customFormat="1" ht="21.75" customHeight="1" x14ac:dyDescent="0.25">
      <c r="B259" s="863"/>
      <c r="C259" s="981"/>
      <c r="D259" s="929" t="s">
        <v>4365</v>
      </c>
      <c r="E259" s="930">
        <v>1000000000</v>
      </c>
      <c r="F259" s="1029">
        <v>389351314600</v>
      </c>
      <c r="G259" s="927">
        <f t="shared" si="3"/>
        <v>0.25683745309229272</v>
      </c>
      <c r="H259" s="870"/>
      <c r="I259" s="870"/>
      <c r="J259" s="865"/>
      <c r="K259" s="865"/>
      <c r="L259" s="865"/>
      <c r="M259" s="865"/>
      <c r="N259" s="865"/>
      <c r="O259" s="865"/>
      <c r="P259" s="865"/>
    </row>
    <row r="260" spans="2:16" s="869" customFormat="1" ht="21.75" customHeight="1" x14ac:dyDescent="0.25">
      <c r="B260" s="863"/>
      <c r="C260" s="981"/>
      <c r="D260" s="933" t="s">
        <v>543</v>
      </c>
      <c r="E260" s="926">
        <v>700000000</v>
      </c>
      <c r="F260" s="1029">
        <v>389351314600</v>
      </c>
      <c r="G260" s="927">
        <f t="shared" si="3"/>
        <v>0.17978621716460488</v>
      </c>
      <c r="H260" s="870"/>
      <c r="I260" s="870"/>
      <c r="J260" s="865"/>
      <c r="K260" s="865"/>
      <c r="L260" s="865"/>
      <c r="M260" s="865"/>
      <c r="N260" s="865"/>
      <c r="O260" s="865"/>
      <c r="P260" s="865"/>
    </row>
    <row r="261" spans="2:16" s="869" customFormat="1" ht="21.75" customHeight="1" x14ac:dyDescent="0.25">
      <c r="B261" s="863"/>
      <c r="C261" s="981"/>
      <c r="D261" s="929" t="s">
        <v>545</v>
      </c>
      <c r="E261" s="930">
        <v>300000000</v>
      </c>
      <c r="F261" s="1029">
        <v>389351314600</v>
      </c>
      <c r="G261" s="927">
        <f t="shared" si="3"/>
        <v>7.7051235927687811E-2</v>
      </c>
      <c r="H261" s="870"/>
      <c r="I261" s="870"/>
      <c r="J261" s="865"/>
      <c r="K261" s="865"/>
      <c r="L261" s="865"/>
      <c r="M261" s="865"/>
      <c r="N261" s="865"/>
      <c r="O261" s="865"/>
      <c r="P261" s="865"/>
    </row>
    <row r="262" spans="2:16" s="869" customFormat="1" ht="21.75" customHeight="1" x14ac:dyDescent="0.25">
      <c r="B262" s="863"/>
      <c r="C262" s="981"/>
      <c r="D262" s="929" t="s">
        <v>546</v>
      </c>
      <c r="E262" s="930">
        <v>400000000</v>
      </c>
      <c r="F262" s="1029">
        <v>389351314600</v>
      </c>
      <c r="G262" s="927">
        <f t="shared" si="3"/>
        <v>0.10273498123691707</v>
      </c>
      <c r="H262" s="870"/>
      <c r="I262" s="870"/>
      <c r="J262" s="865"/>
      <c r="K262" s="865"/>
      <c r="L262" s="865"/>
      <c r="M262" s="865"/>
      <c r="N262" s="865"/>
      <c r="O262" s="865"/>
      <c r="P262" s="865"/>
    </row>
    <row r="263" spans="2:16" s="869" customFormat="1" ht="21.75" customHeight="1" x14ac:dyDescent="0.25">
      <c r="B263" s="863"/>
      <c r="C263" s="981"/>
      <c r="D263" s="933" t="s">
        <v>4366</v>
      </c>
      <c r="E263" s="926">
        <v>1000000000</v>
      </c>
      <c r="F263" s="1029">
        <v>389351314600</v>
      </c>
      <c r="G263" s="927">
        <f t="shared" si="3"/>
        <v>0.25683745309229272</v>
      </c>
      <c r="H263" s="870"/>
      <c r="I263" s="870"/>
      <c r="J263" s="865"/>
      <c r="K263" s="865"/>
      <c r="L263" s="865"/>
      <c r="M263" s="865"/>
      <c r="N263" s="865"/>
      <c r="O263" s="865"/>
      <c r="P263" s="865"/>
    </row>
    <row r="264" spans="2:16" s="869" customFormat="1" ht="21.75" customHeight="1" x14ac:dyDescent="0.25">
      <c r="B264" s="863"/>
      <c r="C264" s="981"/>
      <c r="D264" s="929" t="s">
        <v>4367</v>
      </c>
      <c r="E264" s="930">
        <v>1000000000</v>
      </c>
      <c r="F264" s="1029">
        <v>389351314600</v>
      </c>
      <c r="G264" s="927">
        <f t="shared" si="3"/>
        <v>0.25683745309229272</v>
      </c>
      <c r="H264" s="870"/>
      <c r="I264" s="870"/>
      <c r="J264" s="865"/>
      <c r="K264" s="865"/>
      <c r="L264" s="865"/>
      <c r="M264" s="865"/>
      <c r="N264" s="865"/>
      <c r="O264" s="865"/>
      <c r="P264" s="865"/>
    </row>
    <row r="265" spans="2:16" s="869" customFormat="1" ht="21.75" customHeight="1" x14ac:dyDescent="0.25">
      <c r="B265" s="863"/>
      <c r="C265" s="981"/>
      <c r="D265" s="929"/>
      <c r="E265" s="930"/>
      <c r="F265" s="1029">
        <v>389351314600</v>
      </c>
      <c r="G265" s="927">
        <f t="shared" si="3"/>
        <v>0</v>
      </c>
      <c r="H265" s="870"/>
      <c r="I265" s="870"/>
      <c r="J265" s="865"/>
      <c r="K265" s="865"/>
      <c r="L265" s="865"/>
      <c r="M265" s="865"/>
      <c r="N265" s="865"/>
      <c r="O265" s="865"/>
      <c r="P265" s="865"/>
    </row>
    <row r="266" spans="2:16" s="869" customFormat="1" ht="21.75" customHeight="1" x14ac:dyDescent="0.25">
      <c r="B266" s="863"/>
      <c r="C266" s="981"/>
      <c r="D266" s="964" t="s">
        <v>4156</v>
      </c>
      <c r="E266" s="931">
        <f>+E267+E269+E273+E276+E278+E281</f>
        <v>2000000000</v>
      </c>
      <c r="F266" s="1029">
        <v>389351314600</v>
      </c>
      <c r="G266" s="927">
        <f t="shared" si="3"/>
        <v>0.51367490618458544</v>
      </c>
      <c r="H266" s="870"/>
      <c r="I266" s="870"/>
      <c r="J266" s="865"/>
      <c r="K266" s="865"/>
      <c r="L266" s="865"/>
      <c r="M266" s="865"/>
      <c r="N266" s="865"/>
      <c r="O266" s="865"/>
      <c r="P266" s="865"/>
    </row>
    <row r="267" spans="2:16" s="869" customFormat="1" ht="21.75" customHeight="1" x14ac:dyDescent="0.25">
      <c r="B267" s="863"/>
      <c r="C267" s="981"/>
      <c r="D267" s="933" t="s">
        <v>4157</v>
      </c>
      <c r="E267" s="926">
        <v>195450000</v>
      </c>
      <c r="F267" s="1029">
        <v>389351314600</v>
      </c>
      <c r="G267" s="927">
        <f t="shared" si="3"/>
        <v>5.0198880206888612E-2</v>
      </c>
      <c r="H267" s="870"/>
      <c r="I267" s="870"/>
      <c r="J267" s="865"/>
      <c r="K267" s="865"/>
      <c r="L267" s="865"/>
      <c r="M267" s="865"/>
      <c r="N267" s="865"/>
      <c r="O267" s="865"/>
      <c r="P267" s="865"/>
    </row>
    <row r="268" spans="2:16" s="869" customFormat="1" ht="38.25" customHeight="1" x14ac:dyDescent="0.25">
      <c r="B268" s="863"/>
      <c r="C268" s="981"/>
      <c r="D268" s="929" t="s">
        <v>4158</v>
      </c>
      <c r="E268" s="930">
        <v>195450000</v>
      </c>
      <c r="F268" s="1029">
        <v>389351314600</v>
      </c>
      <c r="G268" s="927">
        <f t="shared" si="3"/>
        <v>5.0198880206888612E-2</v>
      </c>
      <c r="H268" s="870"/>
      <c r="I268" s="870"/>
      <c r="J268" s="865"/>
      <c r="K268" s="865"/>
      <c r="L268" s="865"/>
      <c r="M268" s="865"/>
      <c r="N268" s="865"/>
      <c r="O268" s="865"/>
      <c r="P268" s="865"/>
    </row>
    <row r="269" spans="2:16" s="869" customFormat="1" ht="31.5" customHeight="1" x14ac:dyDescent="0.25">
      <c r="B269" s="863"/>
      <c r="C269" s="981"/>
      <c r="D269" s="928" t="s">
        <v>4368</v>
      </c>
      <c r="E269" s="926">
        <v>199050000</v>
      </c>
      <c r="F269" s="1029">
        <v>389351314600</v>
      </c>
      <c r="G269" s="927">
        <f t="shared" si="3"/>
        <v>5.1123495038020862E-2</v>
      </c>
      <c r="H269" s="870"/>
      <c r="I269" s="870"/>
      <c r="J269" s="865"/>
      <c r="K269" s="865"/>
      <c r="L269" s="865"/>
      <c r="M269" s="865"/>
      <c r="N269" s="865"/>
      <c r="O269" s="865"/>
      <c r="P269" s="865"/>
    </row>
    <row r="270" spans="2:16" s="869" customFormat="1" ht="21.75" customHeight="1" x14ac:dyDescent="0.25">
      <c r="B270" s="863"/>
      <c r="C270" s="981"/>
      <c r="D270" s="929" t="s">
        <v>4369</v>
      </c>
      <c r="E270" s="930">
        <v>199050000</v>
      </c>
      <c r="F270" s="1029">
        <v>389351314600</v>
      </c>
      <c r="G270" s="927">
        <f t="shared" si="3"/>
        <v>5.1123495038020862E-2</v>
      </c>
      <c r="H270" s="870"/>
      <c r="I270" s="870"/>
      <c r="J270" s="865"/>
      <c r="K270" s="865"/>
      <c r="L270" s="865"/>
      <c r="M270" s="865"/>
      <c r="N270" s="865"/>
      <c r="O270" s="865"/>
      <c r="P270" s="865"/>
    </row>
    <row r="271" spans="2:16" s="869" customFormat="1" ht="21.75" customHeight="1" x14ac:dyDescent="0.25">
      <c r="B271" s="863"/>
      <c r="C271" s="981"/>
      <c r="D271" s="933" t="s">
        <v>4161</v>
      </c>
      <c r="E271" s="926">
        <v>0</v>
      </c>
      <c r="F271" s="1029">
        <v>389351314600</v>
      </c>
      <c r="G271" s="927">
        <f t="shared" si="3"/>
        <v>0</v>
      </c>
      <c r="H271" s="870"/>
      <c r="I271" s="870"/>
      <c r="J271" s="865"/>
      <c r="K271" s="865"/>
      <c r="L271" s="865"/>
      <c r="M271" s="865"/>
      <c r="N271" s="865"/>
      <c r="O271" s="865"/>
      <c r="P271" s="865"/>
    </row>
    <row r="272" spans="2:16" s="869" customFormat="1" ht="21.75" customHeight="1" x14ac:dyDescent="0.25">
      <c r="B272" s="863"/>
      <c r="C272" s="981"/>
      <c r="D272" s="929" t="s">
        <v>4162</v>
      </c>
      <c r="E272" s="930">
        <v>0</v>
      </c>
      <c r="F272" s="1029">
        <v>389351314600</v>
      </c>
      <c r="G272" s="927">
        <f t="shared" si="3"/>
        <v>0</v>
      </c>
      <c r="H272" s="870"/>
      <c r="I272" s="870"/>
      <c r="J272" s="865"/>
      <c r="K272" s="865"/>
      <c r="L272" s="865"/>
      <c r="M272" s="865"/>
      <c r="N272" s="865"/>
      <c r="O272" s="865"/>
      <c r="P272" s="865"/>
    </row>
    <row r="273" spans="2:16" s="869" customFormat="1" ht="21.75" customHeight="1" x14ac:dyDescent="0.25">
      <c r="B273" s="863"/>
      <c r="C273" s="981"/>
      <c r="D273" s="933" t="s">
        <v>4165</v>
      </c>
      <c r="E273" s="926">
        <v>378650000</v>
      </c>
      <c r="F273" s="1029">
        <v>389351314600</v>
      </c>
      <c r="G273" s="927">
        <f t="shared" ref="G273:G338" si="4">E273/F273*100</f>
        <v>9.7251501613396629E-2</v>
      </c>
      <c r="H273" s="870"/>
      <c r="I273" s="870"/>
      <c r="J273" s="865"/>
      <c r="K273" s="865"/>
      <c r="L273" s="865"/>
      <c r="M273" s="865"/>
      <c r="N273" s="865"/>
      <c r="O273" s="865"/>
      <c r="P273" s="865"/>
    </row>
    <row r="274" spans="2:16" s="869" customFormat="1" ht="21.75" customHeight="1" x14ac:dyDescent="0.25">
      <c r="B274" s="863"/>
      <c r="C274" s="981"/>
      <c r="D274" s="929" t="s">
        <v>4166</v>
      </c>
      <c r="E274" s="930">
        <v>189542000</v>
      </c>
      <c r="F274" s="1029">
        <v>389351314600</v>
      </c>
      <c r="G274" s="927">
        <f t="shared" si="4"/>
        <v>4.868148453401934E-2</v>
      </c>
      <c r="H274" s="870"/>
      <c r="I274" s="870"/>
      <c r="J274" s="865"/>
      <c r="K274" s="865"/>
      <c r="L274" s="865"/>
      <c r="M274" s="865"/>
      <c r="N274" s="865"/>
      <c r="O274" s="865"/>
      <c r="P274" s="865"/>
    </row>
    <row r="275" spans="2:16" s="869" customFormat="1" ht="21.75" customHeight="1" x14ac:dyDescent="0.25">
      <c r="B275" s="863"/>
      <c r="C275" s="981"/>
      <c r="D275" s="929" t="s">
        <v>4370</v>
      </c>
      <c r="E275" s="930">
        <v>189108000</v>
      </c>
      <c r="F275" s="1029">
        <v>389351314600</v>
      </c>
      <c r="G275" s="927">
        <f t="shared" si="4"/>
        <v>4.857001707937729E-2</v>
      </c>
      <c r="H275" s="870"/>
      <c r="I275" s="870"/>
      <c r="J275" s="865"/>
      <c r="K275" s="865"/>
      <c r="L275" s="865"/>
      <c r="M275" s="865"/>
      <c r="N275" s="865"/>
      <c r="O275" s="865"/>
      <c r="P275" s="865"/>
    </row>
    <row r="276" spans="2:16" s="869" customFormat="1" ht="21.75" customHeight="1" x14ac:dyDescent="0.25">
      <c r="B276" s="863"/>
      <c r="C276" s="981"/>
      <c r="D276" s="933" t="s">
        <v>4167</v>
      </c>
      <c r="E276" s="926">
        <v>289975000</v>
      </c>
      <c r="F276" s="1029">
        <v>389351314600</v>
      </c>
      <c r="G276" s="927">
        <f t="shared" si="4"/>
        <v>7.4476440460437582E-2</v>
      </c>
      <c r="H276" s="870"/>
      <c r="I276" s="870"/>
      <c r="J276" s="865"/>
      <c r="K276" s="865"/>
      <c r="L276" s="865"/>
      <c r="M276" s="865"/>
      <c r="N276" s="865"/>
      <c r="O276" s="865"/>
      <c r="P276" s="865"/>
    </row>
    <row r="277" spans="2:16" s="869" customFormat="1" ht="38.25" customHeight="1" x14ac:dyDescent="0.25">
      <c r="B277" s="863"/>
      <c r="C277" s="981"/>
      <c r="D277" s="929" t="s">
        <v>4168</v>
      </c>
      <c r="E277" s="930">
        <v>289975000</v>
      </c>
      <c r="F277" s="1029">
        <v>389351314600</v>
      </c>
      <c r="G277" s="927">
        <f t="shared" si="4"/>
        <v>7.4476440460437582E-2</v>
      </c>
      <c r="H277" s="870"/>
      <c r="I277" s="870"/>
      <c r="J277" s="865"/>
      <c r="K277" s="865"/>
      <c r="L277" s="865"/>
      <c r="M277" s="865"/>
      <c r="N277" s="865"/>
      <c r="O277" s="865"/>
      <c r="P277" s="865"/>
    </row>
    <row r="278" spans="2:16" s="869" customFormat="1" ht="30.75" customHeight="1" x14ac:dyDescent="0.25">
      <c r="B278" s="863"/>
      <c r="C278" s="981"/>
      <c r="D278" s="928" t="s">
        <v>4170</v>
      </c>
      <c r="E278" s="926">
        <v>646350000</v>
      </c>
      <c r="F278" s="1029">
        <v>389351314600</v>
      </c>
      <c r="G278" s="927">
        <f t="shared" si="4"/>
        <v>0.1660068878062034</v>
      </c>
      <c r="H278" s="870"/>
      <c r="I278" s="870"/>
      <c r="J278" s="865"/>
      <c r="K278" s="865"/>
      <c r="L278" s="865"/>
      <c r="M278" s="865"/>
      <c r="N278" s="865"/>
      <c r="O278" s="865"/>
      <c r="P278" s="865"/>
    </row>
    <row r="279" spans="2:16" s="869" customFormat="1" ht="30.75" customHeight="1" x14ac:dyDescent="0.25">
      <c r="B279" s="863"/>
      <c r="C279" s="981"/>
      <c r="D279" s="929" t="s">
        <v>4171</v>
      </c>
      <c r="E279" s="930">
        <v>646350000</v>
      </c>
      <c r="F279" s="1029">
        <v>389351314600</v>
      </c>
      <c r="G279" s="927">
        <f t="shared" si="4"/>
        <v>0.1660068878062034</v>
      </c>
      <c r="H279" s="870"/>
      <c r="I279" s="870"/>
      <c r="J279" s="865"/>
      <c r="K279" s="865"/>
      <c r="L279" s="865"/>
      <c r="M279" s="865"/>
      <c r="N279" s="865"/>
      <c r="O279" s="865"/>
      <c r="P279" s="865"/>
    </row>
    <row r="280" spans="2:16" s="869" customFormat="1" ht="21.75" customHeight="1" x14ac:dyDescent="0.25">
      <c r="B280" s="863"/>
      <c r="C280" s="981"/>
      <c r="D280" s="929" t="s">
        <v>4172</v>
      </c>
      <c r="E280" s="930">
        <v>0</v>
      </c>
      <c r="F280" s="1029">
        <v>389351314600</v>
      </c>
      <c r="G280" s="927">
        <f t="shared" si="4"/>
        <v>0</v>
      </c>
      <c r="H280" s="870"/>
      <c r="I280" s="870"/>
      <c r="J280" s="865"/>
      <c r="K280" s="865"/>
      <c r="L280" s="865"/>
      <c r="M280" s="865"/>
      <c r="N280" s="865"/>
      <c r="O280" s="865"/>
      <c r="P280" s="865"/>
    </row>
    <row r="281" spans="2:16" s="869" customFormat="1" ht="38.25" customHeight="1" x14ac:dyDescent="0.25">
      <c r="B281" s="863"/>
      <c r="C281" s="981"/>
      <c r="D281" s="928" t="s">
        <v>4173</v>
      </c>
      <c r="E281" s="926">
        <v>290525000</v>
      </c>
      <c r="F281" s="1029">
        <v>389351314600</v>
      </c>
      <c r="G281" s="927">
        <f t="shared" si="4"/>
        <v>7.4617701059638331E-2</v>
      </c>
      <c r="H281" s="870"/>
      <c r="I281" s="870"/>
      <c r="J281" s="865"/>
      <c r="K281" s="865"/>
      <c r="L281" s="865"/>
      <c r="M281" s="865"/>
      <c r="N281" s="865"/>
      <c r="O281" s="865"/>
      <c r="P281" s="865"/>
    </row>
    <row r="282" spans="2:16" s="869" customFormat="1" ht="21.75" customHeight="1" x14ac:dyDescent="0.25">
      <c r="B282" s="863"/>
      <c r="C282" s="981"/>
      <c r="D282" s="929" t="s">
        <v>4174</v>
      </c>
      <c r="E282" s="930">
        <v>0</v>
      </c>
      <c r="F282" s="1029">
        <v>389351314600</v>
      </c>
      <c r="G282" s="927">
        <f t="shared" si="4"/>
        <v>0</v>
      </c>
      <c r="H282" s="870"/>
      <c r="I282" s="870"/>
      <c r="J282" s="865"/>
      <c r="K282" s="865"/>
      <c r="L282" s="865"/>
      <c r="M282" s="865"/>
      <c r="N282" s="865"/>
      <c r="O282" s="865"/>
      <c r="P282" s="865"/>
    </row>
    <row r="283" spans="2:16" s="869" customFormat="1" ht="21.75" customHeight="1" x14ac:dyDescent="0.25">
      <c r="B283" s="863"/>
      <c r="C283" s="981"/>
      <c r="D283" s="929" t="s">
        <v>4371</v>
      </c>
      <c r="E283" s="930">
        <v>290525000</v>
      </c>
      <c r="F283" s="1029">
        <v>389351314600</v>
      </c>
      <c r="G283" s="927">
        <f t="shared" si="4"/>
        <v>7.4617701059638331E-2</v>
      </c>
      <c r="H283" s="870"/>
      <c r="I283" s="870"/>
      <c r="J283" s="865"/>
      <c r="K283" s="865"/>
      <c r="L283" s="865"/>
      <c r="M283" s="865"/>
      <c r="N283" s="865"/>
      <c r="O283" s="865"/>
      <c r="P283" s="865"/>
    </row>
    <row r="284" spans="2:16" s="869" customFormat="1" ht="21.75" customHeight="1" x14ac:dyDescent="0.25">
      <c r="B284" s="863"/>
      <c r="C284" s="981"/>
      <c r="D284" s="928"/>
      <c r="E284" s="930" t="s">
        <v>4372</v>
      </c>
      <c r="F284" s="1029">
        <v>389351314600</v>
      </c>
      <c r="G284" s="927" t="e">
        <f t="shared" si="4"/>
        <v>#VALUE!</v>
      </c>
      <c r="H284" s="870"/>
      <c r="I284" s="870"/>
      <c r="J284" s="865"/>
      <c r="K284" s="865"/>
      <c r="L284" s="865"/>
      <c r="M284" s="865"/>
      <c r="N284" s="865"/>
      <c r="O284" s="865"/>
      <c r="P284" s="865"/>
    </row>
    <row r="285" spans="2:16" s="869" customFormat="1" ht="21.75" customHeight="1" x14ac:dyDescent="0.25">
      <c r="B285" s="863"/>
      <c r="C285" s="981"/>
      <c r="D285" s="928" t="s">
        <v>549</v>
      </c>
      <c r="E285" s="926">
        <f>+E286+E288+E291+E293+E295+E297</f>
        <v>3000000000</v>
      </c>
      <c r="F285" s="1029">
        <v>389351314600</v>
      </c>
      <c r="G285" s="927">
        <f t="shared" si="4"/>
        <v>0.77051235927687811</v>
      </c>
      <c r="H285" s="870"/>
      <c r="I285" s="870"/>
      <c r="J285" s="865"/>
      <c r="K285" s="865"/>
      <c r="L285" s="865"/>
      <c r="M285" s="865"/>
      <c r="N285" s="865"/>
      <c r="O285" s="865"/>
      <c r="P285" s="865"/>
    </row>
    <row r="286" spans="2:16" s="869" customFormat="1" ht="21.75" customHeight="1" x14ac:dyDescent="0.25">
      <c r="B286" s="863"/>
      <c r="C286" s="981"/>
      <c r="D286" s="928" t="s">
        <v>550</v>
      </c>
      <c r="E286" s="926">
        <v>500000000</v>
      </c>
      <c r="F286" s="1029">
        <v>389351314600</v>
      </c>
      <c r="G286" s="927">
        <f t="shared" si="4"/>
        <v>0.12841872654614636</v>
      </c>
      <c r="H286" s="870"/>
      <c r="I286" s="870"/>
      <c r="J286" s="865"/>
      <c r="K286" s="865"/>
      <c r="L286" s="865"/>
      <c r="M286" s="865"/>
      <c r="N286" s="865"/>
      <c r="O286" s="865"/>
      <c r="P286" s="865"/>
    </row>
    <row r="287" spans="2:16" s="869" customFormat="1" ht="21.75" customHeight="1" x14ac:dyDescent="0.25">
      <c r="B287" s="863"/>
      <c r="C287" s="981"/>
      <c r="D287" s="929" t="s">
        <v>4373</v>
      </c>
      <c r="E287" s="930">
        <v>500000000</v>
      </c>
      <c r="F287" s="1029">
        <v>389351314600</v>
      </c>
      <c r="G287" s="927">
        <f t="shared" si="4"/>
        <v>0.12841872654614636</v>
      </c>
      <c r="H287" s="870"/>
      <c r="I287" s="870"/>
      <c r="J287" s="865"/>
      <c r="K287" s="865"/>
      <c r="L287" s="865"/>
      <c r="M287" s="865"/>
      <c r="N287" s="865"/>
      <c r="O287" s="865"/>
      <c r="P287" s="865"/>
    </row>
    <row r="288" spans="2:16" s="869" customFormat="1" ht="21.75" customHeight="1" x14ac:dyDescent="0.25">
      <c r="B288" s="863"/>
      <c r="C288" s="981"/>
      <c r="D288" s="928" t="s">
        <v>552</v>
      </c>
      <c r="E288" s="926">
        <v>1560140000</v>
      </c>
      <c r="F288" s="1029">
        <v>389351314600</v>
      </c>
      <c r="G288" s="927">
        <f t="shared" si="4"/>
        <v>0.40070238406740954</v>
      </c>
      <c r="H288" s="870"/>
      <c r="I288" s="870"/>
      <c r="J288" s="865"/>
      <c r="K288" s="865"/>
      <c r="L288" s="865"/>
      <c r="M288" s="865"/>
      <c r="N288" s="865"/>
      <c r="O288" s="865"/>
      <c r="P288" s="865"/>
    </row>
    <row r="289" spans="2:16" s="869" customFormat="1" ht="21.75" customHeight="1" x14ac:dyDescent="0.25">
      <c r="B289" s="863"/>
      <c r="C289" s="981"/>
      <c r="D289" s="929" t="s">
        <v>4289</v>
      </c>
      <c r="E289" s="930">
        <v>646380000</v>
      </c>
      <c r="F289" s="1029">
        <v>389351314600</v>
      </c>
      <c r="G289" s="927">
        <f t="shared" si="4"/>
        <v>0.16601459292979615</v>
      </c>
      <c r="H289" s="870"/>
      <c r="I289" s="870"/>
      <c r="J289" s="865"/>
      <c r="K289" s="865"/>
      <c r="L289" s="865"/>
      <c r="M289" s="865"/>
      <c r="N289" s="865"/>
      <c r="O289" s="865"/>
      <c r="P289" s="865"/>
    </row>
    <row r="290" spans="2:16" s="869" customFormat="1" ht="21.75" customHeight="1" x14ac:dyDescent="0.25">
      <c r="B290" s="863"/>
      <c r="C290" s="981"/>
      <c r="D290" s="929" t="s">
        <v>554</v>
      </c>
      <c r="E290" s="930">
        <v>913760000</v>
      </c>
      <c r="F290" s="1029">
        <v>389351314600</v>
      </c>
      <c r="G290" s="927">
        <f t="shared" si="4"/>
        <v>0.23468779113761337</v>
      </c>
      <c r="H290" s="870"/>
      <c r="I290" s="870"/>
      <c r="J290" s="865"/>
      <c r="K290" s="865"/>
      <c r="L290" s="865"/>
      <c r="M290" s="865"/>
      <c r="N290" s="865"/>
      <c r="O290" s="865"/>
      <c r="P290" s="865"/>
    </row>
    <row r="291" spans="2:16" s="869" customFormat="1" ht="21.75" customHeight="1" x14ac:dyDescent="0.25">
      <c r="B291" s="863"/>
      <c r="C291" s="981"/>
      <c r="D291" s="928" t="s">
        <v>557</v>
      </c>
      <c r="E291" s="926">
        <v>100000000</v>
      </c>
      <c r="F291" s="1029">
        <v>389351314600</v>
      </c>
      <c r="G291" s="927">
        <f t="shared" si="4"/>
        <v>2.5683745309229268E-2</v>
      </c>
      <c r="H291" s="870"/>
      <c r="I291" s="870"/>
      <c r="J291" s="865"/>
      <c r="K291" s="865"/>
      <c r="L291" s="865"/>
      <c r="M291" s="865"/>
      <c r="N291" s="865"/>
      <c r="O291" s="865"/>
      <c r="P291" s="865"/>
    </row>
    <row r="292" spans="2:16" s="869" customFormat="1" ht="21.75" customHeight="1" x14ac:dyDescent="0.25">
      <c r="B292" s="863"/>
      <c r="C292" s="981"/>
      <c r="D292" s="929" t="s">
        <v>4374</v>
      </c>
      <c r="E292" s="930">
        <v>100000000</v>
      </c>
      <c r="F292" s="1029">
        <v>389351314600</v>
      </c>
      <c r="G292" s="927">
        <f t="shared" si="4"/>
        <v>2.5683745309229268E-2</v>
      </c>
      <c r="H292" s="870"/>
      <c r="I292" s="870"/>
      <c r="J292" s="865"/>
      <c r="K292" s="865"/>
      <c r="L292" s="865"/>
      <c r="M292" s="865"/>
      <c r="N292" s="865"/>
      <c r="O292" s="865"/>
      <c r="P292" s="865"/>
    </row>
    <row r="293" spans="2:16" s="869" customFormat="1" ht="21.75" customHeight="1" x14ac:dyDescent="0.25">
      <c r="B293" s="863"/>
      <c r="C293" s="981"/>
      <c r="D293" s="928" t="s">
        <v>561</v>
      </c>
      <c r="E293" s="926">
        <v>381800000</v>
      </c>
      <c r="F293" s="1029">
        <v>389351314600</v>
      </c>
      <c r="G293" s="927">
        <f t="shared" si="4"/>
        <v>9.8060539590637347E-2</v>
      </c>
      <c r="H293" s="870"/>
      <c r="I293" s="870"/>
      <c r="J293" s="865"/>
      <c r="K293" s="865"/>
      <c r="L293" s="865"/>
      <c r="M293" s="865"/>
      <c r="N293" s="865"/>
      <c r="O293" s="865"/>
      <c r="P293" s="865"/>
    </row>
    <row r="294" spans="2:16" s="869" customFormat="1" ht="38.25" customHeight="1" x14ac:dyDescent="0.25">
      <c r="B294" s="863"/>
      <c r="C294" s="981"/>
      <c r="D294" s="929" t="s">
        <v>562</v>
      </c>
      <c r="E294" s="930">
        <v>381800000</v>
      </c>
      <c r="F294" s="1029">
        <v>389351314600</v>
      </c>
      <c r="G294" s="927">
        <f t="shared" si="4"/>
        <v>9.8060539590637347E-2</v>
      </c>
      <c r="H294" s="870"/>
      <c r="I294" s="870"/>
      <c r="J294" s="865"/>
      <c r="K294" s="865"/>
      <c r="L294" s="865"/>
      <c r="M294" s="865"/>
      <c r="N294" s="865"/>
      <c r="O294" s="865"/>
      <c r="P294" s="865"/>
    </row>
    <row r="295" spans="2:16" s="869" customFormat="1" ht="21.75" customHeight="1" x14ac:dyDescent="0.25">
      <c r="B295" s="863"/>
      <c r="C295" s="981"/>
      <c r="D295" s="928" t="s">
        <v>1671</v>
      </c>
      <c r="E295" s="926">
        <v>260300000</v>
      </c>
      <c r="F295" s="1029">
        <v>389351314600</v>
      </c>
      <c r="G295" s="927">
        <f t="shared" si="4"/>
        <v>6.6854789039923784E-2</v>
      </c>
      <c r="H295" s="870"/>
      <c r="I295" s="870"/>
      <c r="J295" s="865"/>
      <c r="K295" s="865"/>
      <c r="L295" s="865"/>
      <c r="M295" s="865"/>
      <c r="N295" s="865"/>
      <c r="O295" s="865"/>
      <c r="P295" s="865"/>
    </row>
    <row r="296" spans="2:16" s="869" customFormat="1" ht="38.25" customHeight="1" x14ac:dyDescent="0.25">
      <c r="B296" s="863"/>
      <c r="C296" s="981"/>
      <c r="D296" s="929" t="s">
        <v>4375</v>
      </c>
      <c r="E296" s="930">
        <v>260300000</v>
      </c>
      <c r="F296" s="1029">
        <v>389351314600</v>
      </c>
      <c r="G296" s="927">
        <f t="shared" si="4"/>
        <v>6.6854789039923784E-2</v>
      </c>
      <c r="H296" s="870"/>
      <c r="I296" s="870"/>
      <c r="J296" s="865"/>
      <c r="K296" s="865"/>
      <c r="L296" s="865"/>
      <c r="M296" s="865"/>
      <c r="N296" s="865"/>
      <c r="O296" s="865"/>
      <c r="P296" s="865"/>
    </row>
    <row r="297" spans="2:16" s="869" customFormat="1" ht="21.75" customHeight="1" x14ac:dyDescent="0.25">
      <c r="B297" s="863"/>
      <c r="C297" s="981"/>
      <c r="D297" s="928" t="s">
        <v>4376</v>
      </c>
      <c r="E297" s="926">
        <v>197760000</v>
      </c>
      <c r="F297" s="1029">
        <v>389351314600</v>
      </c>
      <c r="G297" s="927">
        <f t="shared" si="4"/>
        <v>5.0792174723531806E-2</v>
      </c>
      <c r="H297" s="870"/>
      <c r="I297" s="870"/>
      <c r="J297" s="865"/>
      <c r="K297" s="865"/>
      <c r="L297" s="865"/>
      <c r="M297" s="865"/>
      <c r="N297" s="865"/>
      <c r="O297" s="865"/>
      <c r="P297" s="865"/>
    </row>
    <row r="298" spans="2:16" s="869" customFormat="1" ht="21.75" customHeight="1" x14ac:dyDescent="0.25">
      <c r="B298" s="863"/>
      <c r="C298" s="981"/>
      <c r="D298" s="929" t="s">
        <v>4377</v>
      </c>
      <c r="E298" s="930">
        <v>197760000</v>
      </c>
      <c r="F298" s="1029">
        <v>389351314600</v>
      </c>
      <c r="G298" s="927">
        <f t="shared" si="4"/>
        <v>5.0792174723531806E-2</v>
      </c>
      <c r="H298" s="870"/>
      <c r="I298" s="870"/>
      <c r="J298" s="865"/>
      <c r="K298" s="865"/>
      <c r="L298" s="865"/>
      <c r="M298" s="865"/>
      <c r="N298" s="865"/>
      <c r="O298" s="865"/>
      <c r="P298" s="865"/>
    </row>
    <row r="299" spans="2:16" s="869" customFormat="1" ht="21.75" customHeight="1" x14ac:dyDescent="0.25">
      <c r="B299" s="863"/>
      <c r="C299" s="981"/>
      <c r="D299" s="928"/>
      <c r="E299" s="930"/>
      <c r="F299" s="1029">
        <v>389351314600</v>
      </c>
      <c r="G299" s="927">
        <f t="shared" si="4"/>
        <v>0</v>
      </c>
      <c r="H299" s="870"/>
      <c r="I299" s="870"/>
      <c r="J299" s="865"/>
      <c r="K299" s="865"/>
      <c r="L299" s="865"/>
      <c r="M299" s="865"/>
      <c r="N299" s="865"/>
      <c r="O299" s="865"/>
      <c r="P299" s="865"/>
    </row>
    <row r="300" spans="2:16" s="869" customFormat="1" ht="21.75" customHeight="1" x14ac:dyDescent="0.25">
      <c r="B300" s="863"/>
      <c r="C300" s="981"/>
      <c r="D300" s="933" t="s">
        <v>607</v>
      </c>
      <c r="E300" s="931">
        <f>+E301</f>
        <v>6100000000</v>
      </c>
      <c r="F300" s="1029">
        <v>389351314600</v>
      </c>
      <c r="G300" s="927">
        <f t="shared" si="4"/>
        <v>1.5667084638629856</v>
      </c>
      <c r="H300" s="870"/>
      <c r="I300" s="870"/>
      <c r="J300" s="865"/>
      <c r="K300" s="865"/>
      <c r="L300" s="865"/>
      <c r="M300" s="865"/>
      <c r="N300" s="865"/>
      <c r="O300" s="865"/>
      <c r="P300" s="865"/>
    </row>
    <row r="301" spans="2:16" s="869" customFormat="1" ht="21.75" customHeight="1" x14ac:dyDescent="0.25">
      <c r="B301" s="863"/>
      <c r="C301" s="981"/>
      <c r="D301" s="933" t="s">
        <v>608</v>
      </c>
      <c r="E301" s="926">
        <f>SUM(E302:E312)</f>
        <v>6100000000</v>
      </c>
      <c r="F301" s="1029">
        <v>389351314600</v>
      </c>
      <c r="G301" s="927">
        <f t="shared" si="4"/>
        <v>1.5667084638629856</v>
      </c>
      <c r="H301" s="870"/>
      <c r="I301" s="870"/>
      <c r="J301" s="865"/>
      <c r="K301" s="865"/>
      <c r="L301" s="865"/>
      <c r="M301" s="865"/>
      <c r="N301" s="865"/>
      <c r="O301" s="865"/>
      <c r="P301" s="865"/>
    </row>
    <row r="302" spans="2:16" s="869" customFormat="1" ht="21.75" customHeight="1" x14ac:dyDescent="0.25">
      <c r="B302" s="863"/>
      <c r="C302" s="981"/>
      <c r="D302" s="929" t="s">
        <v>609</v>
      </c>
      <c r="E302" s="930">
        <v>300000000</v>
      </c>
      <c r="F302" s="1029">
        <v>389351314600</v>
      </c>
      <c r="G302" s="927">
        <f t="shared" si="4"/>
        <v>7.7051235927687811E-2</v>
      </c>
      <c r="H302" s="870"/>
      <c r="I302" s="870"/>
      <c r="J302" s="865"/>
      <c r="K302" s="865"/>
      <c r="L302" s="865"/>
      <c r="M302" s="865"/>
      <c r="N302" s="865"/>
      <c r="O302" s="865"/>
      <c r="P302" s="865"/>
    </row>
    <row r="303" spans="2:16" s="869" customFormat="1" ht="21.75" customHeight="1" x14ac:dyDescent="0.25">
      <c r="B303" s="863"/>
      <c r="C303" s="981"/>
      <c r="D303" s="929" t="s">
        <v>610</v>
      </c>
      <c r="E303" s="930">
        <v>200000000</v>
      </c>
      <c r="F303" s="1029">
        <v>389351314600</v>
      </c>
      <c r="G303" s="927">
        <f t="shared" si="4"/>
        <v>5.1367490618458536E-2</v>
      </c>
      <c r="H303" s="870"/>
      <c r="I303" s="870"/>
      <c r="J303" s="865"/>
      <c r="K303" s="865"/>
      <c r="L303" s="865"/>
      <c r="M303" s="865"/>
      <c r="N303" s="865"/>
      <c r="O303" s="865"/>
      <c r="P303" s="865"/>
    </row>
    <row r="304" spans="2:16" s="869" customFormat="1" ht="21.75" customHeight="1" x14ac:dyDescent="0.25">
      <c r="B304" s="863"/>
      <c r="C304" s="981"/>
      <c r="D304" s="929" t="s">
        <v>611</v>
      </c>
      <c r="E304" s="930">
        <v>2442000000</v>
      </c>
      <c r="F304" s="1029">
        <v>389351314600</v>
      </c>
      <c r="G304" s="927">
        <f t="shared" si="4"/>
        <v>0.6271970604513788</v>
      </c>
      <c r="H304" s="870"/>
      <c r="I304" s="870"/>
      <c r="J304" s="865"/>
      <c r="K304" s="865"/>
      <c r="L304" s="865"/>
      <c r="M304" s="865"/>
      <c r="N304" s="865"/>
      <c r="O304" s="865"/>
      <c r="P304" s="865"/>
    </row>
    <row r="305" spans="2:16" s="869" customFormat="1" ht="21.75" customHeight="1" x14ac:dyDescent="0.25">
      <c r="B305" s="863"/>
      <c r="C305" s="981"/>
      <c r="D305" s="929" t="s">
        <v>612</v>
      </c>
      <c r="E305" s="930">
        <v>993000000</v>
      </c>
      <c r="F305" s="1029">
        <v>389351314600</v>
      </c>
      <c r="G305" s="927">
        <f t="shared" si="4"/>
        <v>0.25503959092064665</v>
      </c>
      <c r="H305" s="870"/>
      <c r="I305" s="870"/>
      <c r="J305" s="865"/>
      <c r="K305" s="865"/>
      <c r="L305" s="865"/>
      <c r="M305" s="865"/>
      <c r="N305" s="865"/>
      <c r="O305" s="865"/>
      <c r="P305" s="865"/>
    </row>
    <row r="306" spans="2:16" s="869" customFormat="1" ht="21.75" customHeight="1" x14ac:dyDescent="0.25">
      <c r="B306" s="863"/>
      <c r="C306" s="981"/>
      <c r="D306" s="929" t="s">
        <v>613</v>
      </c>
      <c r="E306" s="930">
        <v>250000000</v>
      </c>
      <c r="F306" s="1029">
        <v>389351314600</v>
      </c>
      <c r="G306" s="927">
        <f t="shared" si="4"/>
        <v>6.4209363273073181E-2</v>
      </c>
      <c r="H306" s="870"/>
      <c r="I306" s="870"/>
      <c r="J306" s="865"/>
      <c r="K306" s="865"/>
      <c r="L306" s="865"/>
      <c r="M306" s="865"/>
      <c r="N306" s="865"/>
      <c r="O306" s="865"/>
      <c r="P306" s="865"/>
    </row>
    <row r="307" spans="2:16" s="869" customFormat="1" ht="21.75" customHeight="1" x14ac:dyDescent="0.25">
      <c r="B307" s="863"/>
      <c r="C307" s="981"/>
      <c r="D307" s="929" t="s">
        <v>615</v>
      </c>
      <c r="E307" s="930">
        <v>618600000</v>
      </c>
      <c r="F307" s="1029">
        <v>389351314600</v>
      </c>
      <c r="G307" s="927">
        <f t="shared" si="4"/>
        <v>0.15887964848289227</v>
      </c>
      <c r="H307" s="870"/>
      <c r="I307" s="870"/>
      <c r="J307" s="865"/>
      <c r="K307" s="865"/>
      <c r="L307" s="865"/>
      <c r="M307" s="865"/>
      <c r="N307" s="865"/>
      <c r="O307" s="865"/>
      <c r="P307" s="865"/>
    </row>
    <row r="308" spans="2:16" s="869" customFormat="1" ht="21.75" customHeight="1" x14ac:dyDescent="0.25">
      <c r="B308" s="863"/>
      <c r="C308" s="981"/>
      <c r="D308" s="929" t="s">
        <v>616</v>
      </c>
      <c r="E308" s="930">
        <v>400000000</v>
      </c>
      <c r="F308" s="1029">
        <v>389351314600</v>
      </c>
      <c r="G308" s="927">
        <f t="shared" si="4"/>
        <v>0.10273498123691707</v>
      </c>
      <c r="H308" s="870"/>
      <c r="I308" s="870"/>
      <c r="J308" s="865"/>
      <c r="K308" s="865"/>
      <c r="L308" s="865"/>
      <c r="M308" s="865"/>
      <c r="N308" s="865"/>
      <c r="O308" s="865"/>
      <c r="P308" s="865"/>
    </row>
    <row r="309" spans="2:16" s="869" customFormat="1" ht="21.75" customHeight="1" x14ac:dyDescent="0.25">
      <c r="B309" s="863"/>
      <c r="C309" s="981"/>
      <c r="D309" s="929" t="s">
        <v>617</v>
      </c>
      <c r="E309" s="930">
        <v>200000000</v>
      </c>
      <c r="F309" s="1029">
        <v>389351314600</v>
      </c>
      <c r="G309" s="927">
        <f t="shared" si="4"/>
        <v>5.1367490618458536E-2</v>
      </c>
      <c r="H309" s="870"/>
      <c r="I309" s="870"/>
      <c r="J309" s="865"/>
      <c r="K309" s="865"/>
      <c r="L309" s="865"/>
      <c r="M309" s="865"/>
      <c r="N309" s="865"/>
      <c r="O309" s="865"/>
      <c r="P309" s="865"/>
    </row>
    <row r="310" spans="2:16" s="869" customFormat="1" ht="21.75" customHeight="1" x14ac:dyDescent="0.25">
      <c r="B310" s="863"/>
      <c r="C310" s="981"/>
      <c r="D310" s="929" t="s">
        <v>618</v>
      </c>
      <c r="E310" s="930">
        <v>271500000</v>
      </c>
      <c r="F310" s="1029">
        <v>389351314600</v>
      </c>
      <c r="G310" s="927">
        <f t="shared" si="4"/>
        <v>6.9731368514557468E-2</v>
      </c>
      <c r="H310" s="870"/>
      <c r="I310" s="870"/>
      <c r="J310" s="865"/>
      <c r="K310" s="865"/>
      <c r="L310" s="865"/>
      <c r="M310" s="865"/>
      <c r="N310" s="865"/>
      <c r="O310" s="865"/>
      <c r="P310" s="865"/>
    </row>
    <row r="311" spans="2:16" s="869" customFormat="1" ht="21.75" customHeight="1" x14ac:dyDescent="0.25">
      <c r="B311" s="863"/>
      <c r="C311" s="981"/>
      <c r="D311" s="929" t="s">
        <v>4378</v>
      </c>
      <c r="E311" s="930">
        <v>200000000</v>
      </c>
      <c r="F311" s="1029">
        <v>389351314600</v>
      </c>
      <c r="G311" s="927">
        <f t="shared" si="4"/>
        <v>5.1367490618458536E-2</v>
      </c>
      <c r="H311" s="870"/>
      <c r="I311" s="870"/>
      <c r="J311" s="865"/>
      <c r="K311" s="865"/>
      <c r="L311" s="865"/>
      <c r="M311" s="865"/>
      <c r="N311" s="865"/>
      <c r="O311" s="865"/>
      <c r="P311" s="865"/>
    </row>
    <row r="312" spans="2:16" s="869" customFormat="1" ht="21.75" customHeight="1" x14ac:dyDescent="0.25">
      <c r="B312" s="863"/>
      <c r="C312" s="981"/>
      <c r="D312" s="929" t="s">
        <v>4379</v>
      </c>
      <c r="E312" s="930">
        <v>224900000</v>
      </c>
      <c r="F312" s="1029">
        <v>389351314600</v>
      </c>
      <c r="G312" s="927">
        <f t="shared" si="4"/>
        <v>5.7762743200456629E-2</v>
      </c>
      <c r="H312" s="870"/>
      <c r="I312" s="870"/>
      <c r="J312" s="865"/>
      <c r="K312" s="865"/>
      <c r="L312" s="865"/>
      <c r="M312" s="865"/>
      <c r="N312" s="865"/>
      <c r="O312" s="865"/>
      <c r="P312" s="865"/>
    </row>
    <row r="313" spans="2:16" s="869" customFormat="1" ht="21.75" customHeight="1" x14ac:dyDescent="0.25">
      <c r="B313" s="863"/>
      <c r="C313" s="981"/>
      <c r="D313" s="929"/>
      <c r="E313" s="930"/>
      <c r="F313" s="1029">
        <v>389351314600</v>
      </c>
      <c r="G313" s="927">
        <f t="shared" si="4"/>
        <v>0</v>
      </c>
      <c r="H313" s="870"/>
      <c r="I313" s="870"/>
      <c r="J313" s="865"/>
      <c r="K313" s="865"/>
      <c r="L313" s="865"/>
      <c r="M313" s="865"/>
      <c r="N313" s="865"/>
      <c r="O313" s="865"/>
      <c r="P313" s="865"/>
    </row>
    <row r="314" spans="2:16" s="869" customFormat="1" ht="21.75" customHeight="1" x14ac:dyDescent="0.25">
      <c r="B314" s="863"/>
      <c r="C314" s="981"/>
      <c r="D314" s="933" t="s">
        <v>624</v>
      </c>
      <c r="E314" s="931">
        <f>+E315+E317</f>
        <v>10000000000</v>
      </c>
      <c r="F314" s="1029">
        <v>389351314600</v>
      </c>
      <c r="G314" s="927">
        <f t="shared" si="4"/>
        <v>2.5683745309229273</v>
      </c>
      <c r="H314" s="870"/>
      <c r="I314" s="870"/>
      <c r="J314" s="865"/>
      <c r="K314" s="865"/>
      <c r="L314" s="865"/>
      <c r="M314" s="865"/>
      <c r="N314" s="865"/>
      <c r="O314" s="865"/>
      <c r="P314" s="865"/>
    </row>
    <row r="315" spans="2:16" s="869" customFormat="1" ht="21.75" customHeight="1" x14ac:dyDescent="0.25">
      <c r="B315" s="863"/>
      <c r="C315" s="981"/>
      <c r="D315" s="928" t="s">
        <v>625</v>
      </c>
      <c r="E315" s="926">
        <f>+E316</f>
        <v>1208750000</v>
      </c>
      <c r="F315" s="1029">
        <v>389351314600</v>
      </c>
      <c r="G315" s="927">
        <f t="shared" si="4"/>
        <v>0.31045227142530885</v>
      </c>
      <c r="H315" s="870"/>
      <c r="I315" s="870"/>
      <c r="J315" s="865"/>
      <c r="K315" s="865"/>
      <c r="L315" s="865"/>
      <c r="M315" s="865"/>
      <c r="N315" s="865"/>
      <c r="O315" s="865"/>
      <c r="P315" s="865"/>
    </row>
    <row r="316" spans="2:16" s="869" customFormat="1" ht="38.25" customHeight="1" x14ac:dyDescent="0.25">
      <c r="B316" s="863"/>
      <c r="C316" s="981"/>
      <c r="D316" s="929" t="s">
        <v>626</v>
      </c>
      <c r="E316" s="930">
        <v>1208750000</v>
      </c>
      <c r="F316" s="1029">
        <v>389351314600</v>
      </c>
      <c r="G316" s="927">
        <f t="shared" si="4"/>
        <v>0.31045227142530885</v>
      </c>
      <c r="H316" s="870"/>
      <c r="I316" s="870"/>
      <c r="J316" s="865"/>
      <c r="K316" s="865"/>
      <c r="L316" s="865"/>
      <c r="M316" s="865"/>
      <c r="N316" s="865"/>
      <c r="O316" s="865"/>
      <c r="P316" s="865"/>
    </row>
    <row r="317" spans="2:16" s="869" customFormat="1" ht="21.75" customHeight="1" x14ac:dyDescent="0.25">
      <c r="B317" s="863"/>
      <c r="C317" s="981"/>
      <c r="D317" s="928" t="s">
        <v>627</v>
      </c>
      <c r="E317" s="926">
        <f>+E318+E319</f>
        <v>8791250000</v>
      </c>
      <c r="F317" s="1029">
        <v>389351314600</v>
      </c>
      <c r="G317" s="927">
        <f t="shared" si="4"/>
        <v>2.2579222594976183</v>
      </c>
      <c r="H317" s="870"/>
      <c r="I317" s="870"/>
      <c r="J317" s="865"/>
      <c r="K317" s="865"/>
      <c r="L317" s="865"/>
      <c r="M317" s="865"/>
      <c r="N317" s="865"/>
      <c r="O317" s="865"/>
      <c r="P317" s="865"/>
    </row>
    <row r="318" spans="2:16" s="869" customFormat="1" ht="21.75" customHeight="1" x14ac:dyDescent="0.25">
      <c r="B318" s="863"/>
      <c r="C318" s="981"/>
      <c r="D318" s="929" t="s">
        <v>628</v>
      </c>
      <c r="E318" s="930">
        <v>8095450000</v>
      </c>
      <c r="F318" s="1029">
        <v>389351314600</v>
      </c>
      <c r="G318" s="927">
        <f t="shared" si="4"/>
        <v>2.0792147596360011</v>
      </c>
      <c r="H318" s="870"/>
      <c r="I318" s="870"/>
      <c r="J318" s="865"/>
      <c r="K318" s="865"/>
      <c r="L318" s="865"/>
      <c r="M318" s="865"/>
      <c r="N318" s="865"/>
      <c r="O318" s="865"/>
      <c r="P318" s="865"/>
    </row>
    <row r="319" spans="2:16" s="869" customFormat="1" ht="21.75" customHeight="1" x14ac:dyDescent="0.25">
      <c r="B319" s="863"/>
      <c r="C319" s="981"/>
      <c r="D319" s="929" t="s">
        <v>629</v>
      </c>
      <c r="E319" s="930">
        <v>695800000</v>
      </c>
      <c r="F319" s="1029">
        <v>389351314600</v>
      </c>
      <c r="G319" s="927">
        <f t="shared" si="4"/>
        <v>0.17870749986161727</v>
      </c>
      <c r="H319" s="870"/>
      <c r="I319" s="870"/>
      <c r="J319" s="865"/>
      <c r="K319" s="865"/>
      <c r="L319" s="865"/>
      <c r="M319" s="865"/>
      <c r="N319" s="865"/>
      <c r="O319" s="865"/>
      <c r="P319" s="865"/>
    </row>
    <row r="320" spans="2:16" s="869" customFormat="1" ht="21.75" customHeight="1" x14ac:dyDescent="0.25">
      <c r="B320" s="863"/>
      <c r="C320" s="981"/>
      <c r="D320" s="929"/>
      <c r="E320" s="930"/>
      <c r="F320" s="1029">
        <v>389351314600</v>
      </c>
      <c r="G320" s="927">
        <f t="shared" si="4"/>
        <v>0</v>
      </c>
      <c r="H320" s="870"/>
      <c r="I320" s="870"/>
      <c r="J320" s="865"/>
      <c r="K320" s="865"/>
      <c r="L320" s="865"/>
      <c r="M320" s="865"/>
      <c r="N320" s="865"/>
      <c r="O320" s="865"/>
      <c r="P320" s="865"/>
    </row>
    <row r="321" spans="2:16" s="869" customFormat="1" ht="21.75" customHeight="1" x14ac:dyDescent="0.25">
      <c r="B321" s="863"/>
      <c r="C321" s="981"/>
      <c r="D321" s="933" t="s">
        <v>630</v>
      </c>
      <c r="E321" s="931">
        <f>+E322+E327</f>
        <v>9467000000</v>
      </c>
      <c r="F321" s="1029">
        <v>389351314600</v>
      </c>
      <c r="G321" s="927">
        <f t="shared" si="4"/>
        <v>2.4314801684247351</v>
      </c>
      <c r="H321" s="870"/>
      <c r="I321" s="870"/>
      <c r="J321" s="865"/>
      <c r="K321" s="865"/>
      <c r="L321" s="865"/>
      <c r="M321" s="865"/>
      <c r="N321" s="865"/>
      <c r="O321" s="865"/>
      <c r="P321" s="865"/>
    </row>
    <row r="322" spans="2:16" s="869" customFormat="1" ht="21.75" customHeight="1" x14ac:dyDescent="0.25">
      <c r="B322" s="863"/>
      <c r="C322" s="981"/>
      <c r="D322" s="933" t="s">
        <v>4380</v>
      </c>
      <c r="E322" s="926">
        <f>+E323+E324+E325+E326</f>
        <v>8567000000</v>
      </c>
      <c r="F322" s="1029">
        <v>389351314600</v>
      </c>
      <c r="G322" s="927">
        <f t="shared" si="4"/>
        <v>2.2003264606416719</v>
      </c>
      <c r="H322" s="870"/>
      <c r="I322" s="870"/>
      <c r="J322" s="865"/>
      <c r="K322" s="865"/>
      <c r="L322" s="865"/>
      <c r="M322" s="865"/>
      <c r="N322" s="865"/>
      <c r="O322" s="865"/>
      <c r="P322" s="865"/>
    </row>
    <row r="323" spans="2:16" s="869" customFormat="1" ht="21.75" customHeight="1" x14ac:dyDescent="0.25">
      <c r="B323" s="863"/>
      <c r="C323" s="981"/>
      <c r="D323" s="929" t="s">
        <v>4381</v>
      </c>
      <c r="E323" s="930">
        <v>1500000000</v>
      </c>
      <c r="F323" s="1029">
        <v>389351314600</v>
      </c>
      <c r="G323" s="927">
        <f t="shared" si="4"/>
        <v>0.38525617963843906</v>
      </c>
      <c r="H323" s="870"/>
      <c r="I323" s="870"/>
      <c r="J323" s="865"/>
      <c r="K323" s="865"/>
      <c r="L323" s="865"/>
      <c r="M323" s="865"/>
      <c r="N323" s="865"/>
      <c r="O323" s="865"/>
      <c r="P323" s="865"/>
    </row>
    <row r="324" spans="2:16" s="869" customFormat="1" ht="38.25" customHeight="1" x14ac:dyDescent="0.25">
      <c r="B324" s="863"/>
      <c r="C324" s="981"/>
      <c r="D324" s="929" t="s">
        <v>4382</v>
      </c>
      <c r="E324" s="930">
        <v>4250000000</v>
      </c>
      <c r="F324" s="1029">
        <v>389351314600</v>
      </c>
      <c r="G324" s="927">
        <f t="shared" si="4"/>
        <v>1.091559175642244</v>
      </c>
      <c r="H324" s="870"/>
      <c r="I324" s="870"/>
      <c r="J324" s="865"/>
      <c r="K324" s="865"/>
      <c r="L324" s="865"/>
      <c r="M324" s="865"/>
      <c r="N324" s="865"/>
      <c r="O324" s="865"/>
      <c r="P324" s="865"/>
    </row>
    <row r="325" spans="2:16" s="869" customFormat="1" ht="21.75" customHeight="1" x14ac:dyDescent="0.25">
      <c r="B325" s="863"/>
      <c r="C325" s="981"/>
      <c r="D325" s="929" t="s">
        <v>4383</v>
      </c>
      <c r="E325" s="930">
        <v>817000000</v>
      </c>
      <c r="F325" s="1029">
        <v>389351314600</v>
      </c>
      <c r="G325" s="927">
        <f t="shared" si="4"/>
        <v>0.20983619917640314</v>
      </c>
      <c r="H325" s="870"/>
      <c r="I325" s="870"/>
      <c r="J325" s="865"/>
      <c r="K325" s="865"/>
      <c r="L325" s="865"/>
      <c r="M325" s="865"/>
      <c r="N325" s="865"/>
      <c r="O325" s="865"/>
      <c r="P325" s="865"/>
    </row>
    <row r="326" spans="2:16" s="869" customFormat="1" ht="21.75" customHeight="1" x14ac:dyDescent="0.25">
      <c r="B326" s="863"/>
      <c r="C326" s="981"/>
      <c r="D326" s="929" t="s">
        <v>639</v>
      </c>
      <c r="E326" s="930">
        <v>2000000000</v>
      </c>
      <c r="F326" s="1029">
        <v>389351314600</v>
      </c>
      <c r="G326" s="927">
        <f t="shared" si="4"/>
        <v>0.51367490618458544</v>
      </c>
      <c r="H326" s="870"/>
      <c r="I326" s="870"/>
      <c r="J326" s="865"/>
      <c r="K326" s="865"/>
      <c r="L326" s="865"/>
      <c r="M326" s="865"/>
      <c r="N326" s="865"/>
      <c r="O326" s="865"/>
      <c r="P326" s="865"/>
    </row>
    <row r="327" spans="2:16" s="869" customFormat="1" ht="21.75" customHeight="1" x14ac:dyDescent="0.25">
      <c r="B327" s="863"/>
      <c r="C327" s="981"/>
      <c r="D327" s="933" t="s">
        <v>4384</v>
      </c>
      <c r="E327" s="926">
        <f>+E328</f>
        <v>900000000</v>
      </c>
      <c r="F327" s="1029">
        <v>389351314600</v>
      </c>
      <c r="G327" s="927">
        <f t="shared" si="4"/>
        <v>0.23115370778306346</v>
      </c>
      <c r="H327" s="870"/>
      <c r="I327" s="870"/>
      <c r="J327" s="865"/>
      <c r="K327" s="865"/>
      <c r="L327" s="865"/>
      <c r="M327" s="865"/>
      <c r="N327" s="865"/>
      <c r="O327" s="865"/>
      <c r="P327" s="865"/>
    </row>
    <row r="328" spans="2:16" s="869" customFormat="1" ht="21.75" customHeight="1" x14ac:dyDescent="0.25">
      <c r="B328" s="863"/>
      <c r="C328" s="981"/>
      <c r="D328" s="929" t="s">
        <v>4385</v>
      </c>
      <c r="E328" s="930">
        <v>900000000</v>
      </c>
      <c r="F328" s="1029">
        <v>389351314600</v>
      </c>
      <c r="G328" s="927">
        <f t="shared" si="4"/>
        <v>0.23115370778306346</v>
      </c>
      <c r="H328" s="870"/>
      <c r="I328" s="870"/>
      <c r="J328" s="865"/>
      <c r="K328" s="865"/>
      <c r="L328" s="865"/>
      <c r="M328" s="865"/>
      <c r="N328" s="865"/>
      <c r="O328" s="865"/>
      <c r="P328" s="865"/>
    </row>
    <row r="329" spans="2:16" s="869" customFormat="1" ht="21.75" customHeight="1" x14ac:dyDescent="0.25">
      <c r="B329" s="863"/>
      <c r="C329" s="981"/>
      <c r="D329" s="966"/>
      <c r="E329" s="934"/>
      <c r="F329" s="1029">
        <v>389351314600</v>
      </c>
      <c r="G329" s="927">
        <f t="shared" si="4"/>
        <v>0</v>
      </c>
      <c r="H329" s="870"/>
      <c r="I329" s="870"/>
      <c r="J329" s="865"/>
      <c r="K329" s="865"/>
      <c r="L329" s="865"/>
      <c r="M329" s="865"/>
      <c r="N329" s="865"/>
      <c r="O329" s="865"/>
      <c r="P329" s="865"/>
    </row>
    <row r="330" spans="2:16" s="869" customFormat="1" ht="21.75" customHeight="1" x14ac:dyDescent="0.25">
      <c r="B330" s="863"/>
      <c r="C330" s="981"/>
      <c r="D330" s="933" t="s">
        <v>642</v>
      </c>
      <c r="E330" s="931">
        <f>+E331</f>
        <v>132709314600</v>
      </c>
      <c r="F330" s="1029">
        <v>389351314600</v>
      </c>
      <c r="G330" s="927">
        <f>E330/F330*100</f>
        <v>34.08472236348782</v>
      </c>
      <c r="H330" s="870"/>
      <c r="I330" s="870"/>
      <c r="J330" s="865"/>
      <c r="K330" s="865"/>
      <c r="L330" s="865"/>
      <c r="M330" s="865"/>
      <c r="N330" s="865"/>
      <c r="O330" s="865"/>
      <c r="P330" s="865"/>
    </row>
    <row r="331" spans="2:16" s="869" customFormat="1" ht="21.75" customHeight="1" x14ac:dyDescent="0.25">
      <c r="B331" s="863"/>
      <c r="C331" s="981"/>
      <c r="D331" s="933" t="s">
        <v>580</v>
      </c>
      <c r="E331" s="926">
        <f>+E332</f>
        <v>132709314600</v>
      </c>
      <c r="F331" s="1029">
        <v>389351314600</v>
      </c>
      <c r="G331" s="927">
        <f t="shared" si="4"/>
        <v>34.08472236348782</v>
      </c>
      <c r="H331" s="870"/>
      <c r="I331" s="870"/>
      <c r="J331" s="865"/>
      <c r="K331" s="865"/>
      <c r="L331" s="865"/>
      <c r="M331" s="865"/>
      <c r="N331" s="865"/>
      <c r="O331" s="865"/>
      <c r="P331" s="865"/>
    </row>
    <row r="332" spans="2:16" s="869" customFormat="1" ht="21.75" customHeight="1" x14ac:dyDescent="0.25">
      <c r="B332" s="863"/>
      <c r="C332" s="981"/>
      <c r="D332" s="933" t="s">
        <v>2693</v>
      </c>
      <c r="E332" s="926">
        <f>+E333</f>
        <v>132709314600</v>
      </c>
      <c r="F332" s="1029">
        <v>389351314600</v>
      </c>
      <c r="G332" s="927">
        <f t="shared" si="4"/>
        <v>34.08472236348782</v>
      </c>
      <c r="H332" s="870"/>
      <c r="I332" s="870"/>
      <c r="J332" s="865"/>
      <c r="K332" s="865"/>
      <c r="L332" s="865"/>
      <c r="M332" s="865"/>
      <c r="N332" s="865"/>
      <c r="O332" s="865"/>
      <c r="P332" s="865"/>
    </row>
    <row r="333" spans="2:16" s="869" customFormat="1" ht="21.75" customHeight="1" x14ac:dyDescent="0.25">
      <c r="B333" s="863"/>
      <c r="C333" s="981"/>
      <c r="D333" s="929" t="s">
        <v>4281</v>
      </c>
      <c r="E333" s="930">
        <f>+E334+E335</f>
        <v>132709314600</v>
      </c>
      <c r="F333" s="1029">
        <v>389351314600</v>
      </c>
      <c r="G333" s="927">
        <f t="shared" si="4"/>
        <v>34.08472236348782</v>
      </c>
      <c r="H333" s="870"/>
      <c r="I333" s="870"/>
      <c r="J333" s="865"/>
      <c r="K333" s="865"/>
      <c r="L333" s="865"/>
      <c r="M333" s="865"/>
      <c r="N333" s="865"/>
      <c r="O333" s="865"/>
      <c r="P333" s="865"/>
    </row>
    <row r="334" spans="2:16" s="869" customFormat="1" ht="21.75" customHeight="1" x14ac:dyDescent="0.25">
      <c r="B334" s="863"/>
      <c r="C334" s="981"/>
      <c r="D334" s="965" t="s">
        <v>4521</v>
      </c>
      <c r="E334" s="932">
        <v>132609314600</v>
      </c>
      <c r="F334" s="1029">
        <v>389351314600</v>
      </c>
      <c r="G334" s="927">
        <f t="shared" si="4"/>
        <v>34.05903861817859</v>
      </c>
      <c r="H334" s="870"/>
      <c r="I334" s="870"/>
      <c r="J334" s="865"/>
      <c r="K334" s="865"/>
      <c r="L334" s="865"/>
      <c r="M334" s="865"/>
      <c r="N334" s="865"/>
      <c r="O334" s="865"/>
      <c r="P334" s="865"/>
    </row>
    <row r="335" spans="2:16" s="869" customFormat="1" ht="21.75" customHeight="1" x14ac:dyDescent="0.25">
      <c r="B335" s="863"/>
      <c r="C335" s="981"/>
      <c r="D335" s="965" t="s">
        <v>4522</v>
      </c>
      <c r="E335" s="932">
        <v>100000000</v>
      </c>
      <c r="F335" s="1029">
        <v>389351314600</v>
      </c>
      <c r="G335" s="927"/>
      <c r="H335" s="870"/>
      <c r="I335" s="870"/>
      <c r="J335" s="865"/>
      <c r="K335" s="865"/>
      <c r="L335" s="865"/>
      <c r="M335" s="865"/>
      <c r="N335" s="865"/>
      <c r="O335" s="865"/>
      <c r="P335" s="865"/>
    </row>
    <row r="336" spans="2:16" s="869" customFormat="1" ht="21.75" customHeight="1" x14ac:dyDescent="0.25">
      <c r="B336" s="863"/>
      <c r="C336" s="981"/>
      <c r="D336" s="965"/>
      <c r="E336" s="932"/>
      <c r="F336" s="1029">
        <v>389351314600</v>
      </c>
      <c r="G336" s="927"/>
      <c r="H336" s="870"/>
      <c r="I336" s="870"/>
      <c r="J336" s="865"/>
      <c r="K336" s="865"/>
      <c r="L336" s="865"/>
      <c r="M336" s="865"/>
      <c r="N336" s="865"/>
      <c r="O336" s="865"/>
      <c r="P336" s="865"/>
    </row>
    <row r="337" spans="2:16" s="869" customFormat="1" ht="21.75" customHeight="1" x14ac:dyDescent="0.25">
      <c r="B337" s="863"/>
      <c r="C337" s="981"/>
      <c r="D337" s="933" t="s">
        <v>660</v>
      </c>
      <c r="E337" s="931">
        <f>+E338</f>
        <v>11200000000</v>
      </c>
      <c r="F337" s="1029">
        <v>389351314600</v>
      </c>
      <c r="G337" s="927">
        <f t="shared" si="4"/>
        <v>2.8765794746336781</v>
      </c>
      <c r="H337" s="870"/>
      <c r="I337" s="870"/>
      <c r="J337" s="865"/>
      <c r="K337" s="865"/>
      <c r="L337" s="865"/>
      <c r="M337" s="865"/>
      <c r="N337" s="865"/>
      <c r="O337" s="865"/>
      <c r="P337" s="865"/>
    </row>
    <row r="338" spans="2:16" s="869" customFormat="1" ht="21.75" customHeight="1" x14ac:dyDescent="0.25">
      <c r="B338" s="863"/>
      <c r="C338" s="981"/>
      <c r="D338" s="933" t="s">
        <v>608</v>
      </c>
      <c r="E338" s="926">
        <f>+E339+E340+E341</f>
        <v>11200000000</v>
      </c>
      <c r="F338" s="1029">
        <v>389351314600</v>
      </c>
      <c r="G338" s="927">
        <f t="shared" si="4"/>
        <v>2.8765794746336781</v>
      </c>
      <c r="H338" s="870"/>
      <c r="I338" s="870"/>
      <c r="J338" s="865"/>
      <c r="K338" s="865"/>
      <c r="L338" s="865"/>
      <c r="M338" s="865"/>
      <c r="N338" s="865"/>
      <c r="O338" s="865"/>
      <c r="P338" s="865"/>
    </row>
    <row r="339" spans="2:16" s="869" customFormat="1" ht="21.75" customHeight="1" x14ac:dyDescent="0.25">
      <c r="B339" s="863"/>
      <c r="C339" s="981"/>
      <c r="D339" s="929" t="s">
        <v>661</v>
      </c>
      <c r="E339" s="930">
        <v>10077502980</v>
      </c>
      <c r="F339" s="1029">
        <v>389351314600</v>
      </c>
      <c r="G339" s="927">
        <f t="shared" ref="G339:G341" si="5">E339/F339*100</f>
        <v>2.5882801989131901</v>
      </c>
      <c r="H339" s="870"/>
      <c r="I339" s="870"/>
      <c r="J339" s="865"/>
      <c r="K339" s="865"/>
      <c r="L339" s="865"/>
      <c r="M339" s="865"/>
      <c r="N339" s="865"/>
      <c r="O339" s="865"/>
      <c r="P339" s="865"/>
    </row>
    <row r="340" spans="2:16" s="869" customFormat="1" ht="21.75" customHeight="1" x14ac:dyDescent="0.25">
      <c r="B340" s="863"/>
      <c r="C340" s="1009"/>
      <c r="D340" s="973" t="s">
        <v>4386</v>
      </c>
      <c r="E340" s="1010">
        <v>521327940</v>
      </c>
      <c r="F340" s="1028">
        <v>389351314600</v>
      </c>
      <c r="G340" s="1011">
        <f t="shared" si="5"/>
        <v>0.13389654033545159</v>
      </c>
      <c r="H340" s="1012"/>
      <c r="I340" s="1012"/>
      <c r="J340" s="1013"/>
      <c r="K340" s="1013"/>
      <c r="L340" s="1013"/>
      <c r="M340" s="1013"/>
      <c r="N340" s="1013"/>
      <c r="O340" s="865"/>
      <c r="P340" s="865"/>
    </row>
    <row r="341" spans="2:16" s="869" customFormat="1" ht="21.75" customHeight="1" x14ac:dyDescent="0.25">
      <c r="B341" s="863"/>
      <c r="C341" s="981"/>
      <c r="D341" s="1002" t="s">
        <v>4387</v>
      </c>
      <c r="E341" s="1020">
        <v>601169080</v>
      </c>
      <c r="F341" s="1024">
        <v>389351314600</v>
      </c>
      <c r="G341" s="927">
        <f t="shared" si="5"/>
        <v>0.15440273538503677</v>
      </c>
      <c r="H341" s="870"/>
      <c r="I341" s="870"/>
      <c r="J341" s="865"/>
      <c r="K341" s="865"/>
      <c r="L341" s="865"/>
      <c r="M341" s="865"/>
      <c r="N341" s="865"/>
      <c r="O341" s="865"/>
      <c r="P341" s="865"/>
    </row>
    <row r="342" spans="2:16" s="937" customFormat="1" ht="21.75" customHeight="1" x14ac:dyDescent="0.25">
      <c r="B342" s="935"/>
      <c r="C342" s="1014"/>
      <c r="D342" s="1015"/>
      <c r="E342" s="1016"/>
      <c r="F342" s="1025"/>
      <c r="G342" s="1017"/>
      <c r="H342" s="1018"/>
      <c r="I342" s="1018"/>
      <c r="J342" s="1019"/>
      <c r="K342" s="1019"/>
      <c r="L342" s="1019"/>
      <c r="M342" s="1019"/>
      <c r="N342" s="1019"/>
      <c r="O342" s="936"/>
      <c r="P342" s="936"/>
    </row>
    <row r="343" spans="2:16" s="937" customFormat="1" ht="35.1" customHeight="1" x14ac:dyDescent="0.25">
      <c r="B343" s="935"/>
      <c r="C343" s="982" t="s">
        <v>673</v>
      </c>
      <c r="D343" s="943" t="s">
        <v>32</v>
      </c>
      <c r="E343" s="1097">
        <f>SUM(E344:E372)</f>
        <v>1557405258400.0002</v>
      </c>
      <c r="F343" s="1024">
        <v>1557405258400</v>
      </c>
      <c r="G343" s="938">
        <f>+E343/F343*100</f>
        <v>100.00000000000003</v>
      </c>
      <c r="H343" s="872"/>
      <c r="I343" s="872"/>
      <c r="J343" s="936"/>
      <c r="K343" s="936"/>
      <c r="L343" s="936"/>
      <c r="M343" s="936"/>
      <c r="N343" s="936"/>
      <c r="O343" s="936"/>
      <c r="P343" s="936"/>
    </row>
    <row r="344" spans="2:16" s="937" customFormat="1" ht="35.1" customHeight="1" x14ac:dyDescent="0.25">
      <c r="C344" s="982"/>
      <c r="D344" s="1099" t="s">
        <v>33</v>
      </c>
      <c r="E344" s="1100">
        <v>48495887123.160004</v>
      </c>
      <c r="F344" s="1024">
        <v>1557405258400</v>
      </c>
      <c r="G344" s="938">
        <f t="shared" ref="G344" si="6">+E344/F344*100</f>
        <v>3.1138900335409323</v>
      </c>
      <c r="H344" s="939"/>
      <c r="I344" s="939"/>
      <c r="J344" s="939"/>
      <c r="K344" s="939"/>
      <c r="L344" s="939"/>
      <c r="M344" s="939"/>
      <c r="N344" s="939"/>
      <c r="O344" s="939"/>
      <c r="P344" s="936"/>
    </row>
    <row r="345" spans="2:16" s="937" customFormat="1" ht="35.1" customHeight="1" x14ac:dyDescent="0.25">
      <c r="C345" s="982"/>
      <c r="D345" s="1099" t="s">
        <v>34</v>
      </c>
      <c r="E345" s="1100">
        <v>51356987511.629997</v>
      </c>
      <c r="F345" s="1024">
        <v>1557405258400</v>
      </c>
      <c r="G345" s="938">
        <f t="shared" ref="G345" si="7">+E345/F345*100</f>
        <v>3.2975994677449325</v>
      </c>
      <c r="H345" s="939"/>
      <c r="I345" s="939"/>
      <c r="J345" s="939"/>
      <c r="K345" s="939"/>
      <c r="L345" s="939"/>
      <c r="M345" s="939"/>
      <c r="N345" s="939"/>
      <c r="O345" s="939"/>
      <c r="P345" s="936"/>
    </row>
    <row r="346" spans="2:16" s="937" customFormat="1" ht="35.1" customHeight="1" x14ac:dyDescent="0.25">
      <c r="C346" s="982"/>
      <c r="D346" s="1099" t="s">
        <v>35</v>
      </c>
      <c r="E346" s="1100">
        <v>46073463891.389999</v>
      </c>
      <c r="F346" s="1024">
        <v>1557405258400</v>
      </c>
      <c r="G346" s="938">
        <f t="shared" ref="G346" si="8">+E346/F346*100</f>
        <v>2.95834778025108</v>
      </c>
      <c r="H346" s="939"/>
      <c r="I346" s="939"/>
      <c r="J346" s="939"/>
      <c r="K346" s="939"/>
      <c r="L346" s="939"/>
      <c r="M346" s="939"/>
      <c r="N346" s="939"/>
      <c r="O346" s="939"/>
      <c r="P346" s="936"/>
    </row>
    <row r="347" spans="2:16" s="937" customFormat="1" ht="35.1" customHeight="1" x14ac:dyDescent="0.25">
      <c r="C347" s="982"/>
      <c r="D347" s="1099" t="s">
        <v>36</v>
      </c>
      <c r="E347" s="1100">
        <v>45756973242.93</v>
      </c>
      <c r="F347" s="1024">
        <v>1557405258400</v>
      </c>
      <c r="G347" s="938">
        <f t="shared" ref="G347:G372" si="9">+E347/F347*100</f>
        <v>2.9380261172315816</v>
      </c>
      <c r="H347" s="939"/>
      <c r="I347" s="939"/>
      <c r="J347" s="939"/>
      <c r="K347" s="939"/>
      <c r="L347" s="939"/>
      <c r="M347" s="939"/>
      <c r="N347" s="939"/>
      <c r="O347" s="939"/>
      <c r="P347" s="936"/>
    </row>
    <row r="348" spans="2:16" ht="35.1" customHeight="1" x14ac:dyDescent="0.25">
      <c r="C348" s="986"/>
      <c r="D348" s="1099" t="s">
        <v>37</v>
      </c>
      <c r="E348" s="1100">
        <v>45992775230.57</v>
      </c>
      <c r="F348" s="1024">
        <v>1557405258400</v>
      </c>
      <c r="G348" s="938">
        <f t="shared" si="9"/>
        <v>2.953166812716471</v>
      </c>
      <c r="H348" s="944"/>
      <c r="I348" s="944"/>
      <c r="J348" s="944"/>
      <c r="K348" s="944"/>
      <c r="L348" s="944"/>
      <c r="M348" s="944"/>
      <c r="N348" s="944"/>
      <c r="O348" s="944"/>
      <c r="P348" s="987"/>
    </row>
    <row r="349" spans="2:16" ht="35.1" customHeight="1" x14ac:dyDescent="0.25">
      <c r="C349" s="986"/>
      <c r="D349" s="1099" t="s">
        <v>38</v>
      </c>
      <c r="E349" s="1100">
        <v>32258636567.290001</v>
      </c>
      <c r="F349" s="1024">
        <v>1557405258400</v>
      </c>
      <c r="G349" s="938">
        <f t="shared" si="9"/>
        <v>2.0713065140431657</v>
      </c>
      <c r="H349" s="944"/>
      <c r="I349" s="944"/>
      <c r="J349" s="944"/>
      <c r="K349" s="944"/>
      <c r="L349" s="944"/>
      <c r="M349" s="944"/>
      <c r="N349" s="944"/>
      <c r="O349" s="944"/>
      <c r="P349" s="987"/>
    </row>
    <row r="350" spans="2:16" ht="35.1" customHeight="1" x14ac:dyDescent="0.25">
      <c r="C350" s="986"/>
      <c r="D350" s="1099" t="s">
        <v>39</v>
      </c>
      <c r="E350" s="1100">
        <v>64189783336.760002</v>
      </c>
      <c r="F350" s="1024">
        <v>1557405258400</v>
      </c>
      <c r="G350" s="938">
        <f t="shared" si="9"/>
        <v>4.1215851166898823</v>
      </c>
      <c r="H350" s="944"/>
      <c r="I350" s="944"/>
      <c r="J350" s="944"/>
      <c r="K350" s="944"/>
      <c r="L350" s="944"/>
      <c r="M350" s="944"/>
      <c r="N350" s="944"/>
      <c r="O350" s="944"/>
      <c r="P350" s="987"/>
    </row>
    <row r="351" spans="2:16" ht="35.1" customHeight="1" x14ac:dyDescent="0.25">
      <c r="C351" s="986"/>
      <c r="D351" s="868" t="s">
        <v>40</v>
      </c>
      <c r="E351" s="1102">
        <v>64622624148.519997</v>
      </c>
      <c r="F351" s="1024">
        <v>1557405258400</v>
      </c>
      <c r="G351" s="938">
        <f t="shared" si="9"/>
        <v>4.1493775496115912</v>
      </c>
      <c r="H351" s="944"/>
      <c r="I351" s="944"/>
      <c r="J351" s="944"/>
      <c r="K351" s="944"/>
      <c r="L351" s="944"/>
      <c r="M351" s="944"/>
      <c r="N351" s="944"/>
      <c r="O351" s="944"/>
      <c r="P351" s="987"/>
    </row>
    <row r="352" spans="2:16" ht="35.1" customHeight="1" x14ac:dyDescent="0.25">
      <c r="C352" s="986"/>
      <c r="D352" s="1099" t="s">
        <v>41</v>
      </c>
      <c r="E352" s="1100">
        <v>31309836558.849998</v>
      </c>
      <c r="F352" s="1024">
        <v>1557405258400</v>
      </c>
      <c r="G352" s="938">
        <f t="shared" si="9"/>
        <v>2.0103846696277468</v>
      </c>
      <c r="H352" s="944"/>
      <c r="I352" s="944"/>
      <c r="J352" s="944"/>
      <c r="K352" s="944"/>
      <c r="L352" s="944"/>
      <c r="M352" s="944"/>
      <c r="N352" s="944"/>
      <c r="O352" s="944"/>
      <c r="P352" s="987"/>
    </row>
    <row r="353" spans="3:16" ht="35.1" customHeight="1" x14ac:dyDescent="0.25">
      <c r="C353" s="986"/>
      <c r="D353" s="1099" t="s">
        <v>42</v>
      </c>
      <c r="E353" s="1100">
        <v>59981998273.220001</v>
      </c>
      <c r="F353" s="1024">
        <v>1557405258400</v>
      </c>
      <c r="G353" s="938">
        <f t="shared" si="9"/>
        <v>3.8514059169700312</v>
      </c>
      <c r="H353" s="944"/>
      <c r="I353" s="944"/>
      <c r="J353" s="944"/>
      <c r="K353" s="944"/>
      <c r="L353" s="944"/>
      <c r="M353" s="944"/>
      <c r="N353" s="944"/>
      <c r="O353" s="944"/>
      <c r="P353" s="987"/>
    </row>
    <row r="354" spans="3:16" ht="35.1" customHeight="1" x14ac:dyDescent="0.25">
      <c r="C354" s="986"/>
      <c r="D354" s="1099" t="s">
        <v>43</v>
      </c>
      <c r="E354" s="1100">
        <v>61685777431.099998</v>
      </c>
      <c r="F354" s="1024">
        <v>1557405258400</v>
      </c>
      <c r="G354" s="938">
        <f t="shared" si="9"/>
        <v>3.9608044918554386</v>
      </c>
      <c r="H354" s="944"/>
      <c r="I354" s="944"/>
      <c r="J354" s="944"/>
      <c r="K354" s="944"/>
      <c r="L354" s="944"/>
      <c r="M354" s="944"/>
      <c r="N354" s="944"/>
      <c r="O354" s="944"/>
      <c r="P354" s="987"/>
    </row>
    <row r="355" spans="3:16" ht="35.1" customHeight="1" x14ac:dyDescent="0.25">
      <c r="C355" s="986"/>
      <c r="D355" s="1099" t="s">
        <v>44</v>
      </c>
      <c r="E355" s="1100">
        <v>61939361529.599998</v>
      </c>
      <c r="F355" s="1024">
        <v>1557405258400</v>
      </c>
      <c r="G355" s="938">
        <f t="shared" si="9"/>
        <v>3.9770869653562997</v>
      </c>
      <c r="H355" s="944"/>
      <c r="I355" s="944"/>
      <c r="J355" s="944"/>
      <c r="K355" s="944"/>
      <c r="L355" s="944"/>
      <c r="M355" s="944"/>
      <c r="N355" s="944"/>
      <c r="O355" s="944"/>
      <c r="P355" s="987"/>
    </row>
    <row r="356" spans="3:16" ht="35.1" customHeight="1" x14ac:dyDescent="0.25">
      <c r="C356" s="986"/>
      <c r="D356" s="1099" t="s">
        <v>45</v>
      </c>
      <c r="E356" s="1100">
        <v>65595198072.370003</v>
      </c>
      <c r="F356" s="1024">
        <v>1557405258400</v>
      </c>
      <c r="G356" s="938">
        <f t="shared" si="9"/>
        <v>4.2118259019979947</v>
      </c>
      <c r="H356" s="944"/>
      <c r="I356" s="944"/>
      <c r="J356" s="944"/>
      <c r="K356" s="944"/>
      <c r="L356" s="944"/>
      <c r="M356" s="944"/>
      <c r="N356" s="944"/>
      <c r="O356" s="944"/>
      <c r="P356" s="987"/>
    </row>
    <row r="357" spans="3:16" ht="35.1" customHeight="1" x14ac:dyDescent="0.25">
      <c r="C357" s="986"/>
      <c r="D357" s="1099" t="s">
        <v>46</v>
      </c>
      <c r="E357" s="1100">
        <v>62592857239.279999</v>
      </c>
      <c r="F357" s="1024">
        <v>1557405258400</v>
      </c>
      <c r="G357" s="938">
        <f t="shared" si="9"/>
        <v>4.0190475087765378</v>
      </c>
      <c r="H357" s="944"/>
      <c r="I357" s="944"/>
      <c r="J357" s="944"/>
      <c r="K357" s="944"/>
      <c r="L357" s="944"/>
      <c r="M357" s="944"/>
      <c r="N357" s="944"/>
      <c r="O357" s="944"/>
      <c r="P357" s="987"/>
    </row>
    <row r="358" spans="3:16" ht="35.1" customHeight="1" x14ac:dyDescent="0.25">
      <c r="C358" s="986"/>
      <c r="D358" s="1099" t="s">
        <v>47</v>
      </c>
      <c r="E358" s="1100">
        <v>64759842666.910004</v>
      </c>
      <c r="F358" s="1024">
        <v>1557405258400</v>
      </c>
      <c r="G358" s="938">
        <f t="shared" si="9"/>
        <v>4.1581882633066884</v>
      </c>
      <c r="H358" s="944"/>
      <c r="I358" s="944"/>
      <c r="J358" s="944"/>
      <c r="K358" s="944"/>
      <c r="L358" s="944"/>
      <c r="M358" s="944"/>
      <c r="N358" s="944"/>
      <c r="O358" s="944"/>
      <c r="P358" s="987"/>
    </row>
    <row r="359" spans="3:16" ht="35.1" customHeight="1" x14ac:dyDescent="0.25">
      <c r="C359" s="986"/>
      <c r="D359" s="1099" t="s">
        <v>48</v>
      </c>
      <c r="E359" s="1100">
        <v>44404979591.989998</v>
      </c>
      <c r="F359" s="1024">
        <v>1557405258400</v>
      </c>
      <c r="G359" s="938">
        <f t="shared" si="9"/>
        <v>2.8512154657554865</v>
      </c>
      <c r="H359" s="944"/>
      <c r="I359" s="944"/>
      <c r="J359" s="944"/>
      <c r="K359" s="944"/>
      <c r="L359" s="944"/>
      <c r="M359" s="944"/>
      <c r="N359" s="944"/>
      <c r="O359" s="944"/>
      <c r="P359" s="987"/>
    </row>
    <row r="360" spans="3:16" ht="35.1" customHeight="1" x14ac:dyDescent="0.25">
      <c r="C360" s="986"/>
      <c r="D360" s="1099" t="s">
        <v>49</v>
      </c>
      <c r="E360" s="1100">
        <v>29015053505.560001</v>
      </c>
      <c r="F360" s="1024">
        <v>1557405258400</v>
      </c>
      <c r="G360" s="938">
        <f t="shared" si="9"/>
        <v>1.8630381109261573</v>
      </c>
      <c r="H360" s="944"/>
      <c r="I360" s="944"/>
      <c r="J360" s="944"/>
      <c r="K360" s="944"/>
      <c r="L360" s="944"/>
      <c r="M360" s="944"/>
      <c r="N360" s="944"/>
      <c r="O360" s="944"/>
      <c r="P360" s="987"/>
    </row>
    <row r="361" spans="3:16" ht="35.1" customHeight="1" x14ac:dyDescent="0.25">
      <c r="C361" s="986"/>
      <c r="D361" s="1099" t="s">
        <v>50</v>
      </c>
      <c r="E361" s="1100">
        <v>43827566023.510002</v>
      </c>
      <c r="F361" s="1024">
        <v>1557405258400</v>
      </c>
      <c r="G361" s="938">
        <f t="shared" si="9"/>
        <v>2.8141401081781527</v>
      </c>
      <c r="H361" s="944"/>
      <c r="I361" s="944"/>
      <c r="J361" s="944"/>
      <c r="K361" s="944"/>
      <c r="L361" s="944"/>
      <c r="M361" s="944"/>
      <c r="N361" s="944"/>
      <c r="O361" s="944"/>
      <c r="P361" s="987"/>
    </row>
    <row r="362" spans="3:16" ht="35.1" customHeight="1" x14ac:dyDescent="0.25">
      <c r="C362" s="986"/>
      <c r="D362" s="1104" t="s">
        <v>51</v>
      </c>
      <c r="E362" s="1105">
        <v>43402635532.330002</v>
      </c>
      <c r="F362" s="1024">
        <v>1557405258400</v>
      </c>
      <c r="G362" s="938">
        <f t="shared" si="9"/>
        <v>2.7868555919041706</v>
      </c>
      <c r="H362" s="944"/>
      <c r="I362" s="944"/>
      <c r="J362" s="944"/>
      <c r="K362" s="944"/>
      <c r="L362" s="944"/>
      <c r="M362" s="944"/>
      <c r="N362" s="944"/>
      <c r="O362" s="944"/>
      <c r="P362" s="987"/>
    </row>
    <row r="363" spans="3:16" ht="35.1" customHeight="1" x14ac:dyDescent="0.25">
      <c r="C363" s="986"/>
      <c r="D363" s="1099" t="s">
        <v>52</v>
      </c>
      <c r="E363" s="1100">
        <v>59066221758.910004</v>
      </c>
      <c r="F363" s="1024">
        <v>1557405258400</v>
      </c>
      <c r="G363" s="938">
        <f t="shared" si="9"/>
        <v>3.7926044900857518</v>
      </c>
      <c r="H363" s="944"/>
      <c r="I363" s="944"/>
      <c r="J363" s="944"/>
      <c r="K363" s="944"/>
      <c r="L363" s="944"/>
      <c r="M363" s="944"/>
      <c r="N363" s="944"/>
      <c r="O363" s="944"/>
      <c r="P363" s="987"/>
    </row>
    <row r="364" spans="3:16" ht="35.1" customHeight="1" x14ac:dyDescent="0.25">
      <c r="C364" s="986"/>
      <c r="D364" s="1107" t="s">
        <v>53</v>
      </c>
      <c r="E364" s="1108">
        <v>62185842294.059998</v>
      </c>
      <c r="F364" s="1024">
        <v>1557405258400</v>
      </c>
      <c r="G364" s="938">
        <f t="shared" si="9"/>
        <v>3.9929133383013364</v>
      </c>
      <c r="H364" s="944"/>
      <c r="I364" s="944"/>
      <c r="J364" s="944"/>
      <c r="K364" s="944"/>
      <c r="L364" s="944"/>
      <c r="M364" s="944"/>
      <c r="N364" s="944"/>
      <c r="O364" s="944"/>
      <c r="P364" s="987"/>
    </row>
    <row r="365" spans="3:16" ht="35.1" customHeight="1" x14ac:dyDescent="0.25">
      <c r="C365" s="986"/>
      <c r="D365" s="1099" t="s">
        <v>54</v>
      </c>
      <c r="E365" s="1100">
        <v>65793806208.360001</v>
      </c>
      <c r="F365" s="1024">
        <v>1557405258400</v>
      </c>
      <c r="G365" s="938">
        <f t="shared" si="9"/>
        <v>4.2245784039507646</v>
      </c>
      <c r="H365" s="944"/>
      <c r="I365" s="944"/>
      <c r="J365" s="944"/>
      <c r="K365" s="944"/>
      <c r="L365" s="944"/>
      <c r="M365" s="944"/>
      <c r="N365" s="944"/>
      <c r="O365" s="944"/>
      <c r="P365" s="987"/>
    </row>
    <row r="366" spans="3:16" ht="35.1" customHeight="1" x14ac:dyDescent="0.25">
      <c r="C366" s="986"/>
      <c r="D366" s="1099" t="s">
        <v>55</v>
      </c>
      <c r="E366" s="1100">
        <v>61543588793.150002</v>
      </c>
      <c r="F366" s="1024">
        <v>1557405258400</v>
      </c>
      <c r="G366" s="938">
        <f t="shared" si="9"/>
        <v>3.951674649948004</v>
      </c>
      <c r="H366" s="944"/>
      <c r="I366" s="944"/>
      <c r="J366" s="944"/>
      <c r="K366" s="944"/>
      <c r="L366" s="944"/>
      <c r="M366" s="944"/>
      <c r="N366" s="944"/>
      <c r="O366" s="944"/>
      <c r="P366" s="987"/>
    </row>
    <row r="367" spans="3:16" ht="35.1" customHeight="1" x14ac:dyDescent="0.25">
      <c r="C367" s="986"/>
      <c r="D367" s="868" t="s">
        <v>56</v>
      </c>
      <c r="E367" s="1102">
        <v>61544586915.559998</v>
      </c>
      <c r="F367" s="1024">
        <v>1557405258400</v>
      </c>
      <c r="G367" s="938">
        <f t="shared" si="9"/>
        <v>3.9517387387524181</v>
      </c>
      <c r="H367" s="944"/>
      <c r="I367" s="944"/>
      <c r="J367" s="944"/>
      <c r="K367" s="944"/>
      <c r="L367" s="944"/>
      <c r="M367" s="944"/>
      <c r="N367" s="944"/>
      <c r="O367" s="944"/>
      <c r="P367" s="987"/>
    </row>
    <row r="368" spans="3:16" ht="35.1" customHeight="1" x14ac:dyDescent="0.25">
      <c r="C368" s="986"/>
      <c r="D368" s="1099" t="s">
        <v>57</v>
      </c>
      <c r="E368" s="1100">
        <v>64316106423.529999</v>
      </c>
      <c r="F368" s="1024">
        <v>1557405258400</v>
      </c>
      <c r="G368" s="938">
        <f t="shared" si="9"/>
        <v>4.1296962416580731</v>
      </c>
      <c r="H368" s="944"/>
      <c r="I368" s="944"/>
      <c r="J368" s="944"/>
      <c r="K368" s="944"/>
      <c r="L368" s="944"/>
      <c r="M368" s="944"/>
      <c r="N368" s="944"/>
      <c r="O368" s="944"/>
      <c r="P368" s="987"/>
    </row>
    <row r="369" spans="3:16" ht="35.1" customHeight="1" x14ac:dyDescent="0.25">
      <c r="C369" s="986"/>
      <c r="D369" s="1099" t="s">
        <v>58</v>
      </c>
      <c r="E369" s="1100">
        <v>61730319464.800003</v>
      </c>
      <c r="F369" s="1024">
        <v>1557405258400</v>
      </c>
      <c r="G369" s="938">
        <f t="shared" si="9"/>
        <v>3.9636645074782031</v>
      </c>
      <c r="H369" s="944"/>
      <c r="I369" s="944"/>
      <c r="J369" s="944"/>
      <c r="K369" s="944"/>
      <c r="L369" s="944"/>
      <c r="M369" s="944"/>
      <c r="N369" s="944"/>
      <c r="O369" s="944"/>
      <c r="P369" s="987"/>
    </row>
    <row r="370" spans="3:16" ht="35.1" customHeight="1" x14ac:dyDescent="0.25">
      <c r="C370" s="986"/>
      <c r="D370" s="1099" t="s">
        <v>59</v>
      </c>
      <c r="E370" s="1100">
        <v>61756420382.300003</v>
      </c>
      <c r="F370" s="1024">
        <v>1557405258400</v>
      </c>
      <c r="G370" s="938">
        <f t="shared" si="9"/>
        <v>3.9653404307717217</v>
      </c>
      <c r="H370" s="944"/>
      <c r="I370" s="944"/>
      <c r="J370" s="944"/>
      <c r="K370" s="944"/>
      <c r="L370" s="944"/>
      <c r="M370" s="944"/>
      <c r="N370" s="944"/>
      <c r="O370" s="944"/>
      <c r="P370" s="987"/>
    </row>
    <row r="371" spans="3:16" ht="35.1" customHeight="1" x14ac:dyDescent="0.25">
      <c r="C371" s="986"/>
      <c r="D371" s="1099" t="s">
        <v>60</v>
      </c>
      <c r="E371" s="1100">
        <v>60339107583.360001</v>
      </c>
      <c r="F371" s="1024">
        <v>1557405258400</v>
      </c>
      <c r="G371" s="938">
        <f t="shared" si="9"/>
        <v>3.8743356783930065</v>
      </c>
      <c r="H371" s="944"/>
      <c r="I371" s="944"/>
      <c r="J371" s="944"/>
      <c r="K371" s="944"/>
      <c r="L371" s="944"/>
      <c r="M371" s="944"/>
      <c r="N371" s="944"/>
      <c r="O371" s="944"/>
      <c r="P371" s="987"/>
    </row>
    <row r="372" spans="3:16" ht="35.1" customHeight="1" x14ac:dyDescent="0.25">
      <c r="C372" s="986"/>
      <c r="D372" s="1099" t="s">
        <v>61</v>
      </c>
      <c r="E372" s="1100">
        <v>31867021099</v>
      </c>
      <c r="F372" s="1024">
        <v>1557405258400</v>
      </c>
      <c r="G372" s="938">
        <f t="shared" si="9"/>
        <v>2.0461611341763786</v>
      </c>
      <c r="H372" s="944"/>
      <c r="I372" s="944"/>
      <c r="J372" s="944"/>
      <c r="K372" s="944"/>
      <c r="L372" s="944"/>
      <c r="M372" s="944"/>
      <c r="N372" s="944"/>
      <c r="O372" s="944"/>
      <c r="P372" s="987"/>
    </row>
    <row r="373" spans="3:16" s="942" customFormat="1" ht="19.5" customHeight="1" x14ac:dyDescent="0.25">
      <c r="C373" s="985" t="s">
        <v>3984</v>
      </c>
      <c r="D373" s="866" t="s">
        <v>4388</v>
      </c>
      <c r="E373" s="940">
        <f>+E374+E420+E431+E471+E485+E509+E513+E517+E526+E533+E572+E583+E603+E610+E620+E624+E635+E647+E659+E700+E710+E713</f>
        <v>3903473585000</v>
      </c>
      <c r="F373" s="940">
        <v>3903473585000</v>
      </c>
      <c r="G373" s="945">
        <f>+E373/F373*100</f>
        <v>100</v>
      </c>
      <c r="H373" s="941"/>
      <c r="I373" s="941"/>
      <c r="J373" s="941"/>
      <c r="K373" s="941"/>
      <c r="L373" s="941"/>
      <c r="M373" s="941"/>
      <c r="N373" s="941"/>
      <c r="O373" s="941"/>
      <c r="P373" s="984"/>
    </row>
    <row r="374" spans="3:16" s="942" customFormat="1" ht="19.5" customHeight="1" x14ac:dyDescent="0.25">
      <c r="C374" s="985"/>
      <c r="D374" s="933" t="s">
        <v>82</v>
      </c>
      <c r="E374" s="946">
        <f>+E375+E378</f>
        <v>1033246526900</v>
      </c>
      <c r="F374" s="940">
        <v>3903473585000</v>
      </c>
      <c r="G374" s="945">
        <f t="shared" ref="G374:G437" si="10">+E374/F374*100</f>
        <v>26.469924911762917</v>
      </c>
      <c r="H374" s="941"/>
      <c r="I374" s="941"/>
      <c r="J374" s="941"/>
      <c r="K374" s="941"/>
      <c r="L374" s="941"/>
      <c r="M374" s="941"/>
      <c r="N374" s="941"/>
      <c r="O374" s="941"/>
      <c r="P374" s="984"/>
    </row>
    <row r="375" spans="3:16" s="942" customFormat="1" ht="19.5" customHeight="1" x14ac:dyDescent="0.25">
      <c r="C375" s="985"/>
      <c r="D375" s="933" t="s">
        <v>580</v>
      </c>
      <c r="E375" s="947">
        <v>923181318900</v>
      </c>
      <c r="F375" s="940">
        <v>3903473585000</v>
      </c>
      <c r="G375" s="945">
        <f t="shared" si="10"/>
        <v>23.650251469551062</v>
      </c>
      <c r="H375" s="941"/>
      <c r="I375" s="941"/>
      <c r="J375" s="941"/>
      <c r="K375" s="941"/>
      <c r="L375" s="941"/>
      <c r="M375" s="941"/>
      <c r="N375" s="941"/>
      <c r="O375" s="941"/>
      <c r="P375" s="984"/>
    </row>
    <row r="376" spans="3:16" s="942" customFormat="1" ht="19.5" customHeight="1" x14ac:dyDescent="0.25">
      <c r="C376" s="985"/>
      <c r="D376" s="933" t="s">
        <v>2693</v>
      </c>
      <c r="E376" s="947">
        <v>923181318900</v>
      </c>
      <c r="F376" s="940">
        <v>3903473585000</v>
      </c>
      <c r="G376" s="945">
        <f t="shared" si="10"/>
        <v>23.650251469551062</v>
      </c>
      <c r="H376" s="941"/>
      <c r="I376" s="941"/>
      <c r="J376" s="941"/>
      <c r="K376" s="941"/>
      <c r="L376" s="941"/>
      <c r="M376" s="941"/>
      <c r="N376" s="941"/>
      <c r="O376" s="941"/>
      <c r="P376" s="984"/>
    </row>
    <row r="377" spans="3:16" s="942" customFormat="1" ht="19.5" customHeight="1" x14ac:dyDescent="0.25">
      <c r="C377" s="985"/>
      <c r="D377" s="929" t="s">
        <v>4281</v>
      </c>
      <c r="E377" s="1119">
        <v>923181318900</v>
      </c>
      <c r="F377" s="940">
        <v>3903473585000</v>
      </c>
      <c r="G377" s="945">
        <f t="shared" si="10"/>
        <v>23.650251469551062</v>
      </c>
      <c r="H377" s="941"/>
      <c r="I377" s="941"/>
      <c r="J377" s="941"/>
      <c r="K377" s="941"/>
      <c r="L377" s="941"/>
      <c r="M377" s="941"/>
      <c r="N377" s="941"/>
      <c r="O377" s="941"/>
      <c r="P377" s="984"/>
    </row>
    <row r="378" spans="3:16" s="942" customFormat="1" ht="19.5" customHeight="1" x14ac:dyDescent="0.25">
      <c r="C378" s="985"/>
      <c r="D378" s="933" t="s">
        <v>4389</v>
      </c>
      <c r="E378" s="947">
        <v>110065208000</v>
      </c>
      <c r="F378" s="940">
        <v>3903473585000</v>
      </c>
      <c r="G378" s="945">
        <f t="shared" si="10"/>
        <v>2.819673442211855</v>
      </c>
      <c r="H378" s="941"/>
      <c r="I378" s="941"/>
      <c r="J378" s="941"/>
      <c r="K378" s="941"/>
      <c r="L378" s="941"/>
      <c r="M378" s="941"/>
      <c r="N378" s="941"/>
      <c r="O378" s="941"/>
      <c r="P378" s="984"/>
    </row>
    <row r="379" spans="3:16" s="942" customFormat="1" ht="19.5" customHeight="1" x14ac:dyDescent="0.25">
      <c r="C379" s="985"/>
      <c r="D379" s="933" t="s">
        <v>83</v>
      </c>
      <c r="E379" s="947">
        <v>47656100000</v>
      </c>
      <c r="F379" s="940">
        <v>3903473585000</v>
      </c>
      <c r="G379" s="945">
        <f t="shared" si="10"/>
        <v>1.2208639039631159</v>
      </c>
      <c r="H379" s="941"/>
      <c r="I379" s="941"/>
      <c r="J379" s="941"/>
      <c r="K379" s="941"/>
      <c r="L379" s="941"/>
      <c r="M379" s="941"/>
      <c r="N379" s="941"/>
      <c r="O379" s="941"/>
      <c r="P379" s="984"/>
    </row>
    <row r="380" spans="3:16" s="942" customFormat="1" ht="19.5" customHeight="1" x14ac:dyDescent="0.25">
      <c r="C380" s="985"/>
      <c r="D380" s="929" t="s">
        <v>4390</v>
      </c>
      <c r="E380" s="947">
        <v>11121250000</v>
      </c>
      <c r="F380" s="940">
        <v>3903473585000</v>
      </c>
      <c r="G380" s="945">
        <f t="shared" si="10"/>
        <v>0.28490650078268687</v>
      </c>
      <c r="H380" s="941"/>
      <c r="I380" s="941"/>
      <c r="J380" s="941"/>
      <c r="K380" s="941"/>
      <c r="L380" s="941"/>
      <c r="M380" s="941"/>
      <c r="N380" s="941"/>
      <c r="O380" s="941"/>
      <c r="P380" s="984"/>
    </row>
    <row r="381" spans="3:16" s="942" customFormat="1" ht="19.5" customHeight="1" x14ac:dyDescent="0.25">
      <c r="C381" s="985"/>
      <c r="D381" s="929" t="s">
        <v>4391</v>
      </c>
      <c r="E381" s="947">
        <v>34000000000</v>
      </c>
      <c r="F381" s="940">
        <v>3903473585000</v>
      </c>
      <c r="G381" s="945">
        <f t="shared" si="10"/>
        <v>0.87101908747769852</v>
      </c>
      <c r="H381" s="941"/>
      <c r="I381" s="941"/>
      <c r="J381" s="941"/>
      <c r="K381" s="941"/>
      <c r="L381" s="941"/>
      <c r="M381" s="941"/>
      <c r="N381" s="941"/>
      <c r="O381" s="941"/>
      <c r="P381" s="984"/>
    </row>
    <row r="382" spans="3:16" s="942" customFormat="1" ht="19.5" customHeight="1" x14ac:dyDescent="0.25">
      <c r="C382" s="985"/>
      <c r="D382" s="929" t="s">
        <v>4392</v>
      </c>
      <c r="E382" s="947">
        <v>2143300000</v>
      </c>
      <c r="F382" s="940">
        <v>3903473585000</v>
      </c>
      <c r="G382" s="945">
        <f t="shared" si="10"/>
        <v>5.4907506182086799E-2</v>
      </c>
      <c r="H382" s="941"/>
      <c r="I382" s="941"/>
      <c r="J382" s="941"/>
      <c r="K382" s="941"/>
      <c r="L382" s="941"/>
      <c r="M382" s="941"/>
      <c r="N382" s="941"/>
      <c r="O382" s="941"/>
      <c r="P382" s="984"/>
    </row>
    <row r="383" spans="3:16" s="942" customFormat="1" ht="28.5" customHeight="1" x14ac:dyDescent="0.25">
      <c r="C383" s="985"/>
      <c r="D383" s="929" t="s">
        <v>4393</v>
      </c>
      <c r="E383" s="947">
        <v>391550000</v>
      </c>
      <c r="F383" s="940">
        <v>3903473585000</v>
      </c>
      <c r="G383" s="945">
        <f t="shared" si="10"/>
        <v>1.0030809520643906E-2</v>
      </c>
      <c r="H383" s="941"/>
      <c r="I383" s="941"/>
      <c r="J383" s="941"/>
      <c r="K383" s="941"/>
      <c r="L383" s="941"/>
      <c r="M383" s="941"/>
      <c r="N383" s="941"/>
      <c r="O383" s="941"/>
      <c r="P383" s="984"/>
    </row>
    <row r="384" spans="3:16" s="942" customFormat="1" ht="19.5" customHeight="1" x14ac:dyDescent="0.25">
      <c r="C384" s="985"/>
      <c r="D384" s="933" t="s">
        <v>100</v>
      </c>
      <c r="E384" s="947">
        <v>27272790500</v>
      </c>
      <c r="F384" s="940">
        <v>3903473585000</v>
      </c>
      <c r="G384" s="945">
        <f t="shared" si="10"/>
        <v>0.69868003218471886</v>
      </c>
      <c r="H384" s="941"/>
      <c r="I384" s="941"/>
      <c r="J384" s="941"/>
      <c r="K384" s="941"/>
      <c r="L384" s="941"/>
      <c r="M384" s="941"/>
      <c r="N384" s="941"/>
      <c r="O384" s="941"/>
      <c r="P384" s="984"/>
    </row>
    <row r="385" spans="3:16" s="942" customFormat="1" ht="19.5" customHeight="1" x14ac:dyDescent="0.25">
      <c r="C385" s="985"/>
      <c r="D385" s="929" t="s">
        <v>101</v>
      </c>
      <c r="E385" s="947">
        <v>2568800000</v>
      </c>
      <c r="F385" s="940">
        <v>3903473585000</v>
      </c>
      <c r="G385" s="945">
        <f t="shared" si="10"/>
        <v>6.5808053879785638E-2</v>
      </c>
      <c r="H385" s="941"/>
      <c r="I385" s="941"/>
      <c r="J385" s="941"/>
      <c r="K385" s="941"/>
      <c r="L385" s="941"/>
      <c r="M385" s="941"/>
      <c r="N385" s="941"/>
      <c r="O385" s="941"/>
      <c r="P385" s="984"/>
    </row>
    <row r="386" spans="3:16" s="942" customFormat="1" ht="19.5" customHeight="1" x14ac:dyDescent="0.25">
      <c r="C386" s="985"/>
      <c r="D386" s="929" t="s">
        <v>102</v>
      </c>
      <c r="E386" s="947">
        <v>938500000</v>
      </c>
      <c r="F386" s="940">
        <v>3903473585000</v>
      </c>
      <c r="G386" s="945">
        <f t="shared" si="10"/>
        <v>2.4042688635229997E-2</v>
      </c>
      <c r="H386" s="941"/>
      <c r="I386" s="941"/>
      <c r="J386" s="941"/>
      <c r="K386" s="941"/>
      <c r="L386" s="941"/>
      <c r="M386" s="941"/>
      <c r="N386" s="941"/>
      <c r="O386" s="941"/>
      <c r="P386" s="984"/>
    </row>
    <row r="387" spans="3:16" s="942" customFormat="1" ht="19.5" customHeight="1" x14ac:dyDescent="0.25">
      <c r="C387" s="985"/>
      <c r="D387" s="929" t="s">
        <v>4394</v>
      </c>
      <c r="E387" s="947">
        <v>1380750000</v>
      </c>
      <c r="F387" s="940">
        <v>3903473585000</v>
      </c>
      <c r="G387" s="945">
        <f t="shared" si="10"/>
        <v>3.5372341324553885E-2</v>
      </c>
      <c r="H387" s="941"/>
      <c r="I387" s="941"/>
      <c r="J387" s="941"/>
      <c r="K387" s="941"/>
      <c r="L387" s="941"/>
      <c r="M387" s="941"/>
      <c r="N387" s="941"/>
      <c r="O387" s="941"/>
      <c r="P387" s="984"/>
    </row>
    <row r="388" spans="3:16" s="942" customFormat="1" ht="36.75" customHeight="1" x14ac:dyDescent="0.25">
      <c r="C388" s="985"/>
      <c r="D388" s="929" t="s">
        <v>4395</v>
      </c>
      <c r="E388" s="947">
        <v>704850000</v>
      </c>
      <c r="F388" s="940">
        <v>3903473585000</v>
      </c>
      <c r="G388" s="945">
        <f t="shared" si="10"/>
        <v>1.8056994229666345E-2</v>
      </c>
      <c r="H388" s="941"/>
      <c r="I388" s="941"/>
      <c r="J388" s="941"/>
      <c r="K388" s="941"/>
      <c r="L388" s="941"/>
      <c r="M388" s="941"/>
      <c r="N388" s="941"/>
      <c r="O388" s="941"/>
      <c r="P388" s="984"/>
    </row>
    <row r="389" spans="3:16" s="942" customFormat="1" ht="19.5" customHeight="1" x14ac:dyDescent="0.25">
      <c r="C389" s="985"/>
      <c r="D389" s="929" t="s">
        <v>105</v>
      </c>
      <c r="E389" s="947">
        <v>2732350000</v>
      </c>
      <c r="F389" s="940">
        <v>3903473585000</v>
      </c>
      <c r="G389" s="945">
        <f t="shared" si="10"/>
        <v>6.9997911872637916E-2</v>
      </c>
      <c r="H389" s="941"/>
      <c r="I389" s="941"/>
      <c r="J389" s="941"/>
      <c r="K389" s="941"/>
      <c r="L389" s="941"/>
      <c r="M389" s="941"/>
      <c r="N389" s="941"/>
      <c r="O389" s="941"/>
      <c r="P389" s="984"/>
    </row>
    <row r="390" spans="3:16" s="942" customFormat="1" ht="19.5" customHeight="1" x14ac:dyDescent="0.25">
      <c r="C390" s="985"/>
      <c r="D390" s="929" t="s">
        <v>107</v>
      </c>
      <c r="E390" s="947">
        <v>3883690000</v>
      </c>
      <c r="F390" s="940">
        <v>3903473585000</v>
      </c>
      <c r="G390" s="945">
        <f t="shared" si="10"/>
        <v>9.9493179995478312E-2</v>
      </c>
      <c r="H390" s="941"/>
      <c r="I390" s="941"/>
      <c r="J390" s="941"/>
      <c r="K390" s="941"/>
      <c r="L390" s="941"/>
      <c r="M390" s="941"/>
      <c r="N390" s="941"/>
      <c r="O390" s="941"/>
      <c r="P390" s="984"/>
    </row>
    <row r="391" spans="3:16" s="942" customFormat="1" ht="19.5" customHeight="1" x14ac:dyDescent="0.25">
      <c r="C391" s="985"/>
      <c r="D391" s="929" t="s">
        <v>4396</v>
      </c>
      <c r="E391" s="947">
        <v>5498021000</v>
      </c>
      <c r="F391" s="940">
        <v>3903473585000</v>
      </c>
      <c r="G391" s="945">
        <f t="shared" si="10"/>
        <v>0.14084944806921243</v>
      </c>
      <c r="H391" s="941"/>
      <c r="I391" s="941"/>
      <c r="J391" s="941"/>
      <c r="K391" s="941"/>
      <c r="L391" s="941"/>
      <c r="M391" s="941"/>
      <c r="N391" s="941"/>
      <c r="O391" s="941"/>
      <c r="P391" s="984"/>
    </row>
    <row r="392" spans="3:16" s="942" customFormat="1" ht="19.5" customHeight="1" x14ac:dyDescent="0.25">
      <c r="C392" s="985"/>
      <c r="D392" s="929" t="s">
        <v>4397</v>
      </c>
      <c r="E392" s="947">
        <v>1504800000</v>
      </c>
      <c r="F392" s="940">
        <v>3903473585000</v>
      </c>
      <c r="G392" s="945">
        <f t="shared" si="10"/>
        <v>3.8550280083424725E-2</v>
      </c>
      <c r="H392" s="941"/>
      <c r="I392" s="941"/>
      <c r="J392" s="941"/>
      <c r="K392" s="941"/>
      <c r="L392" s="941"/>
      <c r="M392" s="941"/>
      <c r="N392" s="941"/>
      <c r="O392" s="941"/>
      <c r="P392" s="984"/>
    </row>
    <row r="393" spans="3:16" s="942" customFormat="1" ht="19.5" customHeight="1" x14ac:dyDescent="0.25">
      <c r="C393" s="985"/>
      <c r="D393" s="929" t="s">
        <v>4398</v>
      </c>
      <c r="E393" s="947">
        <v>3035400000</v>
      </c>
      <c r="F393" s="940">
        <v>3903473585000</v>
      </c>
      <c r="G393" s="945">
        <f t="shared" si="10"/>
        <v>7.7761509944994298E-2</v>
      </c>
      <c r="H393" s="941"/>
      <c r="I393" s="941"/>
      <c r="J393" s="941"/>
      <c r="K393" s="941"/>
      <c r="L393" s="941"/>
      <c r="M393" s="941"/>
      <c r="N393" s="941"/>
      <c r="O393" s="941"/>
      <c r="P393" s="984"/>
    </row>
    <row r="394" spans="3:16" s="942" customFormat="1" ht="19.5" customHeight="1" x14ac:dyDescent="0.25">
      <c r="C394" s="985"/>
      <c r="D394" s="929" t="s">
        <v>4399</v>
      </c>
      <c r="E394" s="947">
        <v>3165380000</v>
      </c>
      <c r="F394" s="940">
        <v>3903473585000</v>
      </c>
      <c r="G394" s="945">
        <f t="shared" si="10"/>
        <v>8.1091364680004621E-2</v>
      </c>
      <c r="H394" s="941"/>
      <c r="I394" s="941"/>
      <c r="J394" s="941"/>
      <c r="K394" s="941"/>
      <c r="L394" s="941"/>
      <c r="M394" s="941"/>
      <c r="N394" s="941"/>
      <c r="O394" s="941"/>
      <c r="P394" s="984"/>
    </row>
    <row r="395" spans="3:16" s="942" customFormat="1" ht="19.5" customHeight="1" x14ac:dyDescent="0.25">
      <c r="C395" s="985"/>
      <c r="D395" s="929" t="s">
        <v>4400</v>
      </c>
      <c r="E395" s="947">
        <v>1860249500</v>
      </c>
      <c r="F395" s="940">
        <v>3903473585000</v>
      </c>
      <c r="G395" s="945">
        <f t="shared" si="10"/>
        <v>4.7656259469730726E-2</v>
      </c>
      <c r="H395" s="941"/>
      <c r="I395" s="941"/>
      <c r="J395" s="941"/>
      <c r="K395" s="941"/>
      <c r="L395" s="941"/>
      <c r="M395" s="941"/>
      <c r="N395" s="941"/>
      <c r="O395" s="941"/>
      <c r="P395" s="984"/>
    </row>
    <row r="396" spans="3:16" s="942" customFormat="1" ht="19.5" customHeight="1" x14ac:dyDescent="0.25">
      <c r="C396" s="985"/>
      <c r="D396" s="933" t="s">
        <v>109</v>
      </c>
      <c r="E396" s="947">
        <v>10547350000</v>
      </c>
      <c r="F396" s="940">
        <v>3903473585000</v>
      </c>
      <c r="G396" s="945">
        <f t="shared" si="10"/>
        <v>0.27020421095023245</v>
      </c>
      <c r="H396" s="941"/>
      <c r="I396" s="941"/>
      <c r="J396" s="941"/>
      <c r="K396" s="941"/>
      <c r="L396" s="941"/>
      <c r="M396" s="941"/>
      <c r="N396" s="941"/>
      <c r="O396" s="941"/>
      <c r="P396" s="984"/>
    </row>
    <row r="397" spans="3:16" s="942" customFormat="1" ht="19.5" customHeight="1" x14ac:dyDescent="0.25">
      <c r="C397" s="985"/>
      <c r="D397" s="929" t="s">
        <v>4401</v>
      </c>
      <c r="E397" s="947">
        <v>1254150000</v>
      </c>
      <c r="F397" s="940">
        <v>3903473585000</v>
      </c>
      <c r="G397" s="945">
        <f t="shared" si="10"/>
        <v>3.212907613412222E-2</v>
      </c>
      <c r="H397" s="941"/>
      <c r="I397" s="941"/>
      <c r="J397" s="941"/>
      <c r="K397" s="941"/>
      <c r="L397" s="941"/>
      <c r="M397" s="941"/>
      <c r="N397" s="941"/>
      <c r="O397" s="941"/>
      <c r="P397" s="984"/>
    </row>
    <row r="398" spans="3:16" s="942" customFormat="1" ht="19.5" customHeight="1" x14ac:dyDescent="0.25">
      <c r="C398" s="985"/>
      <c r="D398" s="929" t="s">
        <v>4402</v>
      </c>
      <c r="E398" s="947">
        <v>2130000000</v>
      </c>
      <c r="F398" s="940">
        <v>3903473585000</v>
      </c>
      <c r="G398" s="945">
        <f t="shared" si="10"/>
        <v>5.4566784009632281E-2</v>
      </c>
      <c r="H398" s="941"/>
      <c r="I398" s="941"/>
      <c r="J398" s="941"/>
      <c r="K398" s="941"/>
      <c r="L398" s="941"/>
      <c r="M398" s="941"/>
      <c r="N398" s="941"/>
      <c r="O398" s="941"/>
      <c r="P398" s="984"/>
    </row>
    <row r="399" spans="3:16" s="942" customFormat="1" ht="19.5" customHeight="1" x14ac:dyDescent="0.25">
      <c r="C399" s="985"/>
      <c r="D399" s="929" t="s">
        <v>112</v>
      </c>
      <c r="E399" s="947">
        <v>5000000000</v>
      </c>
      <c r="F399" s="940">
        <v>3903473585000</v>
      </c>
      <c r="G399" s="945">
        <f t="shared" si="10"/>
        <v>0.12809104227613211</v>
      </c>
      <c r="H399" s="941"/>
      <c r="I399" s="941"/>
      <c r="J399" s="941"/>
      <c r="K399" s="941"/>
      <c r="L399" s="941"/>
      <c r="M399" s="941"/>
      <c r="N399" s="941"/>
      <c r="O399" s="941"/>
      <c r="P399" s="984"/>
    </row>
    <row r="400" spans="3:16" s="942" customFormat="1" ht="29.25" customHeight="1" x14ac:dyDescent="0.25">
      <c r="C400" s="985"/>
      <c r="D400" s="929" t="s">
        <v>115</v>
      </c>
      <c r="E400" s="947">
        <v>1004700000</v>
      </c>
      <c r="F400" s="940">
        <v>3903473585000</v>
      </c>
      <c r="G400" s="945">
        <f t="shared" si="10"/>
        <v>2.5738614034965985E-2</v>
      </c>
      <c r="H400" s="941"/>
      <c r="I400" s="941"/>
      <c r="J400" s="941"/>
      <c r="K400" s="941"/>
      <c r="L400" s="941"/>
      <c r="M400" s="941"/>
      <c r="N400" s="941"/>
      <c r="O400" s="941"/>
      <c r="P400" s="984"/>
    </row>
    <row r="401" spans="3:16" s="942" customFormat="1" ht="19.5" customHeight="1" x14ac:dyDescent="0.25">
      <c r="C401" s="985"/>
      <c r="D401" s="929" t="s">
        <v>116</v>
      </c>
      <c r="E401" s="947">
        <v>378000000</v>
      </c>
      <c r="F401" s="940">
        <v>3903473585000</v>
      </c>
      <c r="G401" s="945">
        <f t="shared" si="10"/>
        <v>9.6836827960755881E-3</v>
      </c>
      <c r="H401" s="941"/>
      <c r="I401" s="941"/>
      <c r="J401" s="941"/>
      <c r="K401" s="941"/>
      <c r="L401" s="941"/>
      <c r="M401" s="941"/>
      <c r="N401" s="941"/>
      <c r="O401" s="941"/>
      <c r="P401" s="984"/>
    </row>
    <row r="402" spans="3:16" s="942" customFormat="1" ht="19.5" customHeight="1" x14ac:dyDescent="0.25">
      <c r="C402" s="985"/>
      <c r="D402" s="929" t="s">
        <v>117</v>
      </c>
      <c r="E402" s="947">
        <v>780500000</v>
      </c>
      <c r="F402" s="940">
        <v>3903473585000</v>
      </c>
      <c r="G402" s="945">
        <f t="shared" si="10"/>
        <v>1.9995011699304226E-2</v>
      </c>
      <c r="H402" s="941"/>
      <c r="I402" s="941"/>
      <c r="J402" s="941"/>
      <c r="K402" s="941"/>
      <c r="L402" s="941"/>
      <c r="M402" s="941"/>
      <c r="N402" s="941"/>
      <c r="O402" s="941"/>
      <c r="P402" s="984"/>
    </row>
    <row r="403" spans="3:16" s="942" customFormat="1" ht="19.5" customHeight="1" x14ac:dyDescent="0.25">
      <c r="C403" s="985"/>
      <c r="D403" s="933" t="s">
        <v>129</v>
      </c>
      <c r="E403" s="947">
        <v>17918350000</v>
      </c>
      <c r="F403" s="940">
        <v>3903473585000</v>
      </c>
      <c r="G403" s="945">
        <f t="shared" si="10"/>
        <v>0.45903602547370637</v>
      </c>
      <c r="H403" s="941"/>
      <c r="I403" s="941"/>
      <c r="J403" s="941"/>
      <c r="K403" s="941"/>
      <c r="L403" s="941"/>
      <c r="M403" s="941"/>
      <c r="N403" s="941"/>
      <c r="O403" s="941"/>
      <c r="P403" s="984"/>
    </row>
    <row r="404" spans="3:16" s="942" customFormat="1" ht="19.5" customHeight="1" x14ac:dyDescent="0.25">
      <c r="C404" s="985"/>
      <c r="D404" s="929" t="s">
        <v>130</v>
      </c>
      <c r="E404" s="947">
        <v>3647900000</v>
      </c>
      <c r="F404" s="940">
        <v>3903473585000</v>
      </c>
      <c r="G404" s="945">
        <f t="shared" si="10"/>
        <v>9.3452662623820473E-2</v>
      </c>
      <c r="H404" s="941"/>
      <c r="I404" s="941"/>
      <c r="J404" s="941"/>
      <c r="K404" s="941"/>
      <c r="L404" s="941"/>
      <c r="M404" s="941"/>
      <c r="N404" s="941"/>
      <c r="O404" s="941"/>
      <c r="P404" s="984"/>
    </row>
    <row r="405" spans="3:16" s="942" customFormat="1" ht="19.5" customHeight="1" x14ac:dyDescent="0.25">
      <c r="C405" s="985"/>
      <c r="D405" s="929" t="s">
        <v>132</v>
      </c>
      <c r="E405" s="947">
        <v>10991400000</v>
      </c>
      <c r="F405" s="940">
        <v>3903473585000</v>
      </c>
      <c r="G405" s="945">
        <f t="shared" si="10"/>
        <v>0.28157997641477572</v>
      </c>
      <c r="H405" s="941"/>
      <c r="I405" s="941"/>
      <c r="J405" s="941"/>
      <c r="K405" s="941"/>
      <c r="L405" s="941"/>
      <c r="M405" s="941"/>
      <c r="N405" s="941"/>
      <c r="O405" s="941"/>
      <c r="P405" s="984"/>
    </row>
    <row r="406" spans="3:16" s="942" customFormat="1" ht="28.5" customHeight="1" x14ac:dyDescent="0.25">
      <c r="C406" s="985"/>
      <c r="D406" s="929" t="s">
        <v>133</v>
      </c>
      <c r="E406" s="947">
        <v>0</v>
      </c>
      <c r="F406" s="940">
        <v>3903473585000</v>
      </c>
      <c r="G406" s="945">
        <f t="shared" si="10"/>
        <v>0</v>
      </c>
      <c r="H406" s="941"/>
      <c r="I406" s="941"/>
      <c r="J406" s="941"/>
      <c r="K406" s="941"/>
      <c r="L406" s="941"/>
      <c r="M406" s="941"/>
      <c r="N406" s="941"/>
      <c r="O406" s="941"/>
      <c r="P406" s="984"/>
    </row>
    <row r="407" spans="3:16" s="942" customFormat="1" ht="19.5" customHeight="1" x14ac:dyDescent="0.25">
      <c r="C407" s="985"/>
      <c r="D407" s="929" t="s">
        <v>4288</v>
      </c>
      <c r="E407" s="947">
        <v>625000000</v>
      </c>
      <c r="F407" s="940">
        <v>3903473585000</v>
      </c>
      <c r="G407" s="945">
        <f t="shared" si="10"/>
        <v>1.6011380284516513E-2</v>
      </c>
      <c r="H407" s="941"/>
      <c r="I407" s="941"/>
      <c r="J407" s="941"/>
      <c r="K407" s="941"/>
      <c r="L407" s="941"/>
      <c r="M407" s="941"/>
      <c r="N407" s="941"/>
      <c r="O407" s="941"/>
      <c r="P407" s="984"/>
    </row>
    <row r="408" spans="3:16" s="942" customFormat="1" ht="28.5" customHeight="1" x14ac:dyDescent="0.25">
      <c r="C408" s="985"/>
      <c r="D408" s="929" t="s">
        <v>4403</v>
      </c>
      <c r="E408" s="947">
        <v>638050000</v>
      </c>
      <c r="F408" s="940">
        <v>3903473585000</v>
      </c>
      <c r="G408" s="945">
        <f t="shared" si="10"/>
        <v>1.634569790485722E-2</v>
      </c>
      <c r="H408" s="941"/>
      <c r="I408" s="941"/>
      <c r="J408" s="941"/>
      <c r="K408" s="941"/>
      <c r="L408" s="941"/>
      <c r="M408" s="941"/>
      <c r="N408" s="941"/>
      <c r="O408" s="941"/>
      <c r="P408" s="984"/>
    </row>
    <row r="409" spans="3:16" s="942" customFormat="1" ht="28.5" customHeight="1" x14ac:dyDescent="0.25">
      <c r="C409" s="985"/>
      <c r="D409" s="929" t="s">
        <v>4404</v>
      </c>
      <c r="E409" s="947">
        <v>16000000</v>
      </c>
      <c r="F409" s="940">
        <v>3903473585000</v>
      </c>
      <c r="G409" s="945">
        <f t="shared" si="10"/>
        <v>4.0989133528362282E-4</v>
      </c>
      <c r="H409" s="941"/>
      <c r="I409" s="941"/>
      <c r="J409" s="941"/>
      <c r="K409" s="941"/>
      <c r="L409" s="941"/>
      <c r="M409" s="941"/>
      <c r="N409" s="941"/>
      <c r="O409" s="941"/>
      <c r="P409" s="984"/>
    </row>
    <row r="410" spans="3:16" s="942" customFormat="1" ht="19.5" customHeight="1" x14ac:dyDescent="0.25">
      <c r="C410" s="985"/>
      <c r="D410" s="929" t="s">
        <v>4405</v>
      </c>
      <c r="E410" s="947">
        <v>2000000000</v>
      </c>
      <c r="F410" s="940">
        <v>3903473585000</v>
      </c>
      <c r="G410" s="945">
        <f t="shared" si="10"/>
        <v>5.1236416910452852E-2</v>
      </c>
      <c r="H410" s="941"/>
      <c r="I410" s="941"/>
      <c r="J410" s="941"/>
      <c r="K410" s="941"/>
      <c r="L410" s="941"/>
      <c r="M410" s="941"/>
      <c r="N410" s="941"/>
      <c r="O410" s="941"/>
      <c r="P410" s="984"/>
    </row>
    <row r="411" spans="3:16" s="942" customFormat="1" ht="19.5" customHeight="1" x14ac:dyDescent="0.25">
      <c r="C411" s="985"/>
      <c r="D411" s="933" t="s">
        <v>137</v>
      </c>
      <c r="E411" s="947">
        <v>6670617500</v>
      </c>
      <c r="F411" s="940">
        <v>3903473585000</v>
      </c>
      <c r="G411" s="945">
        <f t="shared" si="10"/>
        <v>0.17088926964008136</v>
      </c>
      <c r="H411" s="941"/>
      <c r="I411" s="941"/>
      <c r="J411" s="941"/>
      <c r="K411" s="941"/>
      <c r="L411" s="941"/>
      <c r="M411" s="941"/>
      <c r="N411" s="941"/>
      <c r="O411" s="941"/>
      <c r="P411" s="984"/>
    </row>
    <row r="412" spans="3:16" s="942" customFormat="1" ht="19.5" customHeight="1" x14ac:dyDescent="0.25">
      <c r="C412" s="985"/>
      <c r="D412" s="929" t="s">
        <v>138</v>
      </c>
      <c r="E412" s="947">
        <v>2718217500</v>
      </c>
      <c r="F412" s="940">
        <v>3903473585000</v>
      </c>
      <c r="G412" s="945">
        <f t="shared" si="10"/>
        <v>6.963586254164443E-2</v>
      </c>
      <c r="H412" s="941"/>
      <c r="I412" s="941"/>
      <c r="J412" s="941"/>
      <c r="K412" s="941"/>
      <c r="L412" s="941"/>
      <c r="M412" s="941"/>
      <c r="N412" s="941"/>
      <c r="O412" s="941"/>
      <c r="P412" s="984"/>
    </row>
    <row r="413" spans="3:16" s="942" customFormat="1" ht="19.5" customHeight="1" x14ac:dyDescent="0.25">
      <c r="C413" s="985"/>
      <c r="D413" s="929" t="s">
        <v>141</v>
      </c>
      <c r="E413" s="947">
        <v>446000000</v>
      </c>
      <c r="F413" s="940">
        <v>3903473585000</v>
      </c>
      <c r="G413" s="945">
        <f t="shared" si="10"/>
        <v>1.1425720971030985E-2</v>
      </c>
      <c r="H413" s="941"/>
      <c r="I413" s="941"/>
      <c r="J413" s="941"/>
      <c r="K413" s="941"/>
      <c r="L413" s="941"/>
      <c r="M413" s="941"/>
      <c r="N413" s="941"/>
      <c r="O413" s="941"/>
      <c r="P413" s="984"/>
    </row>
    <row r="414" spans="3:16" s="942" customFormat="1" ht="19.5" customHeight="1" x14ac:dyDescent="0.25">
      <c r="C414" s="985"/>
      <c r="D414" s="929" t="s">
        <v>4406</v>
      </c>
      <c r="E414" s="947">
        <v>665800000</v>
      </c>
      <c r="F414" s="940">
        <v>3903473585000</v>
      </c>
      <c r="G414" s="945">
        <f t="shared" si="10"/>
        <v>1.7056603189489754E-2</v>
      </c>
      <c r="H414" s="941"/>
      <c r="I414" s="941"/>
      <c r="J414" s="941"/>
      <c r="K414" s="941"/>
      <c r="L414" s="941"/>
      <c r="M414" s="941"/>
      <c r="N414" s="941"/>
      <c r="O414" s="941"/>
      <c r="P414" s="984"/>
    </row>
    <row r="415" spans="3:16" s="942" customFormat="1" ht="19.5" customHeight="1" x14ac:dyDescent="0.25">
      <c r="C415" s="985"/>
      <c r="D415" s="929" t="s">
        <v>143</v>
      </c>
      <c r="E415" s="947">
        <v>837700000</v>
      </c>
      <c r="F415" s="940">
        <v>3903473585000</v>
      </c>
      <c r="G415" s="945">
        <f t="shared" si="10"/>
        <v>2.1460373222943176E-2</v>
      </c>
      <c r="H415" s="941"/>
      <c r="I415" s="941"/>
      <c r="J415" s="941"/>
      <c r="K415" s="941"/>
      <c r="L415" s="941"/>
      <c r="M415" s="941"/>
      <c r="N415" s="941"/>
      <c r="O415" s="941"/>
      <c r="P415" s="984"/>
    </row>
    <row r="416" spans="3:16" s="942" customFormat="1" ht="19.5" customHeight="1" x14ac:dyDescent="0.25">
      <c r="C416" s="985"/>
      <c r="D416" s="929" t="s">
        <v>4407</v>
      </c>
      <c r="E416" s="947">
        <v>304000000</v>
      </c>
      <c r="F416" s="940">
        <v>3903473585000</v>
      </c>
      <c r="G416" s="945">
        <f t="shared" si="10"/>
        <v>7.7879353703888326E-3</v>
      </c>
      <c r="H416" s="941"/>
      <c r="I416" s="941"/>
      <c r="J416" s="941"/>
      <c r="K416" s="941"/>
      <c r="L416" s="941"/>
      <c r="M416" s="941"/>
      <c r="N416" s="941"/>
      <c r="O416" s="941"/>
      <c r="P416" s="984"/>
    </row>
    <row r="417" spans="3:16" s="942" customFormat="1" ht="28.5" customHeight="1" x14ac:dyDescent="0.25">
      <c r="C417" s="985"/>
      <c r="D417" s="929" t="s">
        <v>4408</v>
      </c>
      <c r="E417" s="947">
        <v>713146000</v>
      </c>
      <c r="F417" s="940">
        <v>3903473585000</v>
      </c>
      <c r="G417" s="945">
        <f t="shared" si="10"/>
        <v>1.8269522887010902E-2</v>
      </c>
      <c r="H417" s="941"/>
      <c r="I417" s="941"/>
      <c r="J417" s="941"/>
      <c r="K417" s="941"/>
      <c r="L417" s="941"/>
      <c r="M417" s="941"/>
      <c r="N417" s="941"/>
      <c r="O417" s="941"/>
      <c r="P417" s="984"/>
    </row>
    <row r="418" spans="3:16" s="942" customFormat="1" ht="19.5" customHeight="1" x14ac:dyDescent="0.25">
      <c r="C418" s="985"/>
      <c r="D418" s="929" t="s">
        <v>4409</v>
      </c>
      <c r="E418" s="947">
        <v>985754000</v>
      </c>
      <c r="F418" s="940">
        <v>3903473585000</v>
      </c>
      <c r="G418" s="945">
        <f t="shared" si="10"/>
        <v>2.5253251457573268E-2</v>
      </c>
      <c r="H418" s="941"/>
      <c r="I418" s="941"/>
      <c r="J418" s="941"/>
      <c r="K418" s="941"/>
      <c r="L418" s="941"/>
      <c r="M418" s="941"/>
      <c r="N418" s="941"/>
      <c r="O418" s="941"/>
      <c r="P418" s="984"/>
    </row>
    <row r="419" spans="3:16" s="942" customFormat="1" ht="19.5" customHeight="1" x14ac:dyDescent="0.25">
      <c r="C419" s="985"/>
      <c r="D419" s="929"/>
      <c r="E419" s="947"/>
      <c r="F419" s="940">
        <v>3903473585000</v>
      </c>
      <c r="G419" s="945"/>
      <c r="H419" s="941"/>
      <c r="I419" s="941"/>
      <c r="J419" s="941"/>
      <c r="K419" s="941"/>
      <c r="L419" s="941"/>
      <c r="M419" s="941"/>
      <c r="N419" s="941"/>
      <c r="O419" s="941"/>
      <c r="P419" s="984"/>
    </row>
    <row r="420" spans="3:16" s="942" customFormat="1" ht="19.5" customHeight="1" x14ac:dyDescent="0.25">
      <c r="C420" s="985"/>
      <c r="D420" s="933" t="s">
        <v>150</v>
      </c>
      <c r="E420" s="948">
        <f>+E421+E423+E425+E427</f>
        <v>156991000000</v>
      </c>
      <c r="F420" s="940">
        <v>3903473585000</v>
      </c>
      <c r="G420" s="945">
        <f t="shared" si="10"/>
        <v>4.0218281635944511</v>
      </c>
      <c r="H420" s="941"/>
      <c r="I420" s="941"/>
      <c r="J420" s="941"/>
      <c r="K420" s="941"/>
      <c r="L420" s="941"/>
      <c r="M420" s="941"/>
      <c r="N420" s="941"/>
      <c r="O420" s="941"/>
      <c r="P420" s="984"/>
    </row>
    <row r="421" spans="3:16" s="942" customFormat="1" ht="19.5" customHeight="1" x14ac:dyDescent="0.25">
      <c r="C421" s="985"/>
      <c r="D421" s="933" t="s">
        <v>166</v>
      </c>
      <c r="E421" s="946">
        <v>11841123123</v>
      </c>
      <c r="F421" s="940">
        <v>3903473585000</v>
      </c>
      <c r="G421" s="945">
        <f t="shared" si="10"/>
        <v>0.3033483605090157</v>
      </c>
      <c r="H421" s="941"/>
      <c r="I421" s="941"/>
      <c r="J421" s="941"/>
      <c r="K421" s="941"/>
      <c r="L421" s="941"/>
      <c r="M421" s="941"/>
      <c r="N421" s="941"/>
      <c r="O421" s="941"/>
      <c r="P421" s="984"/>
    </row>
    <row r="422" spans="3:16" s="942" customFormat="1" ht="19.5" customHeight="1" x14ac:dyDescent="0.25">
      <c r="C422" s="985"/>
      <c r="D422" s="929" t="s">
        <v>698</v>
      </c>
      <c r="E422" s="947">
        <v>11841123123</v>
      </c>
      <c r="F422" s="940">
        <v>3903473585000</v>
      </c>
      <c r="G422" s="945">
        <f t="shared" si="10"/>
        <v>0.3033483605090157</v>
      </c>
      <c r="H422" s="941"/>
      <c r="I422" s="941"/>
      <c r="J422" s="941"/>
      <c r="K422" s="941"/>
      <c r="L422" s="941"/>
      <c r="M422" s="941"/>
      <c r="N422" s="941"/>
      <c r="O422" s="941"/>
      <c r="P422" s="984"/>
    </row>
    <row r="423" spans="3:16" s="942" customFormat="1" ht="19.5" customHeight="1" x14ac:dyDescent="0.25">
      <c r="C423" s="985"/>
      <c r="D423" s="933" t="s">
        <v>198</v>
      </c>
      <c r="E423" s="946">
        <v>0</v>
      </c>
      <c r="F423" s="940">
        <v>3903473585000</v>
      </c>
      <c r="G423" s="945">
        <f t="shared" si="10"/>
        <v>0</v>
      </c>
      <c r="H423" s="941"/>
      <c r="I423" s="941"/>
      <c r="J423" s="941"/>
      <c r="K423" s="941"/>
      <c r="L423" s="941"/>
      <c r="M423" s="941"/>
      <c r="N423" s="941"/>
      <c r="O423" s="941"/>
      <c r="P423" s="984"/>
    </row>
    <row r="424" spans="3:16" s="942" customFormat="1" ht="19.5" customHeight="1" x14ac:dyDescent="0.25">
      <c r="C424" s="985"/>
      <c r="D424" s="929" t="s">
        <v>4410</v>
      </c>
      <c r="E424" s="947">
        <v>0</v>
      </c>
      <c r="F424" s="940">
        <v>3903473585000</v>
      </c>
      <c r="G424" s="945">
        <f t="shared" si="10"/>
        <v>0</v>
      </c>
      <c r="H424" s="941"/>
      <c r="I424" s="941"/>
      <c r="J424" s="941"/>
      <c r="K424" s="941"/>
      <c r="L424" s="941"/>
      <c r="M424" s="941"/>
      <c r="N424" s="941"/>
      <c r="O424" s="941"/>
      <c r="P424" s="984"/>
    </row>
    <row r="425" spans="3:16" s="942" customFormat="1" ht="19.5" customHeight="1" x14ac:dyDescent="0.25">
      <c r="C425" s="985"/>
      <c r="D425" s="933" t="s">
        <v>4317</v>
      </c>
      <c r="E425" s="946">
        <v>60150000000</v>
      </c>
      <c r="F425" s="940">
        <v>3903473585000</v>
      </c>
      <c r="G425" s="945">
        <f t="shared" si="10"/>
        <v>1.5409352385818693</v>
      </c>
      <c r="H425" s="941"/>
      <c r="I425" s="941"/>
      <c r="J425" s="941"/>
      <c r="K425" s="941"/>
      <c r="L425" s="941"/>
      <c r="M425" s="941"/>
      <c r="N425" s="941"/>
      <c r="O425" s="941"/>
      <c r="P425" s="984"/>
    </row>
    <row r="426" spans="3:16" s="942" customFormat="1" ht="34.5" customHeight="1" x14ac:dyDescent="0.25">
      <c r="C426" s="985"/>
      <c r="D426" s="929" t="s">
        <v>4411</v>
      </c>
      <c r="E426" s="947">
        <v>60150000000</v>
      </c>
      <c r="F426" s="940">
        <v>3903473585000</v>
      </c>
      <c r="G426" s="945">
        <f t="shared" si="10"/>
        <v>1.5409352385818693</v>
      </c>
      <c r="H426" s="941"/>
      <c r="I426" s="941"/>
      <c r="J426" s="941"/>
      <c r="K426" s="941"/>
      <c r="L426" s="941"/>
      <c r="M426" s="941"/>
      <c r="N426" s="941"/>
      <c r="O426" s="941"/>
      <c r="P426" s="984"/>
    </row>
    <row r="427" spans="3:16" s="942" customFormat="1" ht="19.5" customHeight="1" x14ac:dyDescent="0.25">
      <c r="C427" s="985"/>
      <c r="D427" s="933" t="s">
        <v>223</v>
      </c>
      <c r="E427" s="946">
        <v>84999876877</v>
      </c>
      <c r="F427" s="940">
        <v>3903473585000</v>
      </c>
      <c r="G427" s="945">
        <f t="shared" si="10"/>
        <v>2.1775445645035663</v>
      </c>
      <c r="H427" s="941"/>
      <c r="I427" s="941"/>
      <c r="J427" s="941"/>
      <c r="K427" s="941"/>
      <c r="L427" s="941"/>
      <c r="M427" s="941"/>
      <c r="N427" s="941"/>
      <c r="O427" s="941"/>
      <c r="P427" s="984"/>
    </row>
    <row r="428" spans="3:16" s="942" customFormat="1" ht="19.5" customHeight="1" x14ac:dyDescent="0.25">
      <c r="C428" s="985"/>
      <c r="D428" s="929" t="s">
        <v>4412</v>
      </c>
      <c r="E428" s="947">
        <v>0</v>
      </c>
      <c r="F428" s="940">
        <v>3903473585000</v>
      </c>
      <c r="G428" s="945">
        <f t="shared" si="10"/>
        <v>0</v>
      </c>
      <c r="H428" s="941"/>
      <c r="I428" s="941"/>
      <c r="J428" s="941"/>
      <c r="K428" s="941"/>
      <c r="L428" s="941"/>
      <c r="M428" s="941"/>
      <c r="N428" s="941"/>
      <c r="O428" s="941"/>
      <c r="P428" s="984"/>
    </row>
    <row r="429" spans="3:16" s="942" customFormat="1" ht="34.5" customHeight="1" x14ac:dyDescent="0.25">
      <c r="C429" s="985"/>
      <c r="D429" s="929" t="s">
        <v>225</v>
      </c>
      <c r="E429" s="947">
        <v>84999876877</v>
      </c>
      <c r="F429" s="940">
        <v>3903473585000</v>
      </c>
      <c r="G429" s="945">
        <f t="shared" si="10"/>
        <v>2.1775445645035663</v>
      </c>
      <c r="H429" s="941"/>
      <c r="I429" s="941"/>
      <c r="J429" s="941"/>
      <c r="K429" s="941"/>
      <c r="L429" s="941"/>
      <c r="M429" s="941"/>
      <c r="N429" s="941"/>
      <c r="O429" s="941"/>
      <c r="P429" s="984"/>
    </row>
    <row r="430" spans="3:16" s="942" customFormat="1" ht="19.5" customHeight="1" x14ac:dyDescent="0.25">
      <c r="C430" s="985"/>
      <c r="D430" s="928"/>
      <c r="E430" s="947"/>
      <c r="F430" s="940">
        <v>3903473585000</v>
      </c>
      <c r="G430" s="945"/>
      <c r="H430" s="941"/>
      <c r="I430" s="941"/>
      <c r="J430" s="941"/>
      <c r="K430" s="941"/>
      <c r="L430" s="941"/>
      <c r="M430" s="941"/>
      <c r="N430" s="941"/>
      <c r="O430" s="941"/>
      <c r="P430" s="984"/>
    </row>
    <row r="431" spans="3:16" s="942" customFormat="1" ht="19.5" customHeight="1" x14ac:dyDescent="0.25">
      <c r="C431" s="985"/>
      <c r="D431" s="933" t="s">
        <v>226</v>
      </c>
      <c r="E431" s="948">
        <f>+E432+E437+E439+E442+E444+E448+E460+E463+E466+E468</f>
        <v>291000000000</v>
      </c>
      <c r="F431" s="940">
        <v>3903473585000</v>
      </c>
      <c r="G431" s="945">
        <f t="shared" si="10"/>
        <v>7.4548986604708896</v>
      </c>
      <c r="H431" s="941"/>
      <c r="I431" s="941"/>
      <c r="J431" s="941"/>
      <c r="K431" s="941"/>
      <c r="L431" s="941"/>
      <c r="M431" s="941"/>
      <c r="N431" s="941"/>
      <c r="O431" s="941"/>
      <c r="P431" s="984"/>
    </row>
    <row r="432" spans="3:16" s="942" customFormat="1" ht="19.5" customHeight="1" x14ac:dyDescent="0.25">
      <c r="C432" s="985"/>
      <c r="D432" s="933" t="s">
        <v>227</v>
      </c>
      <c r="E432" s="946">
        <v>16397004603</v>
      </c>
      <c r="F432" s="940">
        <v>3903473585000</v>
      </c>
      <c r="G432" s="945">
        <f t="shared" si="10"/>
        <v>0.42006188196096117</v>
      </c>
      <c r="H432" s="941"/>
      <c r="I432" s="941"/>
      <c r="J432" s="941"/>
      <c r="K432" s="941"/>
      <c r="L432" s="941"/>
      <c r="M432" s="941"/>
      <c r="N432" s="941"/>
      <c r="O432" s="941"/>
      <c r="P432" s="984"/>
    </row>
    <row r="433" spans="3:16" s="942" customFormat="1" ht="19.5" customHeight="1" x14ac:dyDescent="0.25">
      <c r="C433" s="985"/>
      <c r="D433" s="929" t="s">
        <v>228</v>
      </c>
      <c r="E433" s="947">
        <v>5800717500</v>
      </c>
      <c r="F433" s="940">
        <v>3903473585000</v>
      </c>
      <c r="G433" s="945">
        <f t="shared" si="10"/>
        <v>0.1486039901048799</v>
      </c>
      <c r="H433" s="941"/>
      <c r="I433" s="941"/>
      <c r="J433" s="941"/>
      <c r="K433" s="941"/>
      <c r="L433" s="941"/>
      <c r="M433" s="941"/>
      <c r="N433" s="941"/>
      <c r="O433" s="941"/>
      <c r="P433" s="984"/>
    </row>
    <row r="434" spans="3:16" s="942" customFormat="1" ht="19.5" customHeight="1" x14ac:dyDescent="0.25">
      <c r="C434" s="985"/>
      <c r="D434" s="929" t="s">
        <v>229</v>
      </c>
      <c r="E434" s="947">
        <v>8000000000</v>
      </c>
      <c r="F434" s="940">
        <v>3903473585000</v>
      </c>
      <c r="G434" s="945">
        <f t="shared" si="10"/>
        <v>0.20494566764181141</v>
      </c>
      <c r="H434" s="941"/>
      <c r="I434" s="941"/>
      <c r="J434" s="941"/>
      <c r="K434" s="941"/>
      <c r="L434" s="941"/>
      <c r="M434" s="941"/>
      <c r="N434" s="941"/>
      <c r="O434" s="941"/>
      <c r="P434" s="984"/>
    </row>
    <row r="435" spans="3:16" s="942" customFormat="1" ht="19.5" customHeight="1" x14ac:dyDescent="0.25">
      <c r="C435" s="985"/>
      <c r="D435" s="929" t="s">
        <v>584</v>
      </c>
      <c r="E435" s="947">
        <v>250000000</v>
      </c>
      <c r="F435" s="940">
        <v>3903473585000</v>
      </c>
      <c r="G435" s="945">
        <f t="shared" si="10"/>
        <v>6.4045521138066065E-3</v>
      </c>
      <c r="H435" s="941"/>
      <c r="I435" s="941"/>
      <c r="J435" s="941"/>
      <c r="K435" s="941"/>
      <c r="L435" s="941"/>
      <c r="M435" s="941"/>
      <c r="N435" s="941"/>
      <c r="O435" s="941"/>
      <c r="P435" s="984"/>
    </row>
    <row r="436" spans="3:16" s="942" customFormat="1" ht="19.5" customHeight="1" x14ac:dyDescent="0.25">
      <c r="C436" s="985"/>
      <c r="D436" s="929" t="s">
        <v>587</v>
      </c>
      <c r="E436" s="947">
        <v>2346287103</v>
      </c>
      <c r="F436" s="940">
        <v>3903473585000</v>
      </c>
      <c r="G436" s="945">
        <f t="shared" si="10"/>
        <v>6.0107672100463312E-2</v>
      </c>
      <c r="H436" s="941"/>
      <c r="I436" s="941"/>
      <c r="J436" s="941"/>
      <c r="K436" s="941"/>
      <c r="L436" s="941"/>
      <c r="M436" s="941"/>
      <c r="N436" s="941"/>
      <c r="O436" s="941"/>
      <c r="P436" s="984"/>
    </row>
    <row r="437" spans="3:16" s="942" customFormat="1" ht="19.5" customHeight="1" x14ac:dyDescent="0.25">
      <c r="C437" s="985"/>
      <c r="D437" s="933" t="s">
        <v>151</v>
      </c>
      <c r="E437" s="946">
        <v>2477250000</v>
      </c>
      <c r="F437" s="940">
        <v>3903473585000</v>
      </c>
      <c r="G437" s="945">
        <f t="shared" si="10"/>
        <v>6.3462706895709653E-2</v>
      </c>
      <c r="H437" s="941"/>
      <c r="I437" s="941"/>
      <c r="J437" s="941"/>
      <c r="K437" s="941"/>
      <c r="L437" s="941"/>
      <c r="M437" s="941"/>
      <c r="N437" s="941"/>
      <c r="O437" s="941"/>
      <c r="P437" s="984"/>
    </row>
    <row r="438" spans="3:16" s="942" customFormat="1" ht="19.5" customHeight="1" x14ac:dyDescent="0.25">
      <c r="C438" s="985"/>
      <c r="D438" s="929" t="s">
        <v>591</v>
      </c>
      <c r="E438" s="947">
        <v>2477250000</v>
      </c>
      <c r="F438" s="940">
        <v>3903473585000</v>
      </c>
      <c r="G438" s="945">
        <f t="shared" ref="G438:G501" si="11">+E438/F438*100</f>
        <v>6.3462706895709653E-2</v>
      </c>
      <c r="H438" s="941"/>
      <c r="I438" s="941"/>
      <c r="J438" s="941"/>
      <c r="K438" s="941"/>
      <c r="L438" s="941"/>
      <c r="M438" s="941"/>
      <c r="N438" s="941"/>
      <c r="O438" s="941"/>
      <c r="P438" s="984"/>
    </row>
    <row r="439" spans="3:16" s="942" customFormat="1" ht="19.5" customHeight="1" x14ac:dyDescent="0.25">
      <c r="C439" s="985"/>
      <c r="D439" s="933" t="s">
        <v>166</v>
      </c>
      <c r="E439" s="946">
        <v>19898000000</v>
      </c>
      <c r="F439" s="940">
        <v>3903473585000</v>
      </c>
      <c r="G439" s="945">
        <f t="shared" si="11"/>
        <v>0.50975111184209532</v>
      </c>
      <c r="H439" s="941"/>
      <c r="I439" s="941"/>
      <c r="J439" s="941"/>
      <c r="K439" s="941"/>
      <c r="L439" s="941"/>
      <c r="M439" s="941"/>
      <c r="N439" s="941"/>
      <c r="O439" s="941"/>
      <c r="P439" s="984"/>
    </row>
    <row r="440" spans="3:16" s="942" customFormat="1" ht="19.5" customHeight="1" x14ac:dyDescent="0.25">
      <c r="C440" s="985"/>
      <c r="D440" s="929" t="s">
        <v>230</v>
      </c>
      <c r="E440" s="947">
        <v>19548000000</v>
      </c>
      <c r="F440" s="940">
        <v>3903473585000</v>
      </c>
      <c r="G440" s="945">
        <f t="shared" si="11"/>
        <v>0.50078473888276609</v>
      </c>
      <c r="H440" s="941"/>
      <c r="I440" s="941"/>
      <c r="J440" s="941"/>
      <c r="K440" s="941"/>
      <c r="L440" s="941"/>
      <c r="M440" s="941"/>
      <c r="N440" s="941"/>
      <c r="O440" s="941"/>
      <c r="P440" s="984"/>
    </row>
    <row r="441" spans="3:16" s="942" customFormat="1" ht="19.5" customHeight="1" x14ac:dyDescent="0.25">
      <c r="C441" s="985"/>
      <c r="D441" s="929" t="s">
        <v>4413</v>
      </c>
      <c r="E441" s="947">
        <v>350000000</v>
      </c>
      <c r="F441" s="940">
        <v>3903473585000</v>
      </c>
      <c r="G441" s="945">
        <f t="shared" si="11"/>
        <v>8.9663729593292482E-3</v>
      </c>
      <c r="H441" s="941"/>
      <c r="I441" s="941"/>
      <c r="J441" s="941"/>
      <c r="K441" s="941"/>
      <c r="L441" s="941"/>
      <c r="M441" s="941"/>
      <c r="N441" s="941"/>
      <c r="O441" s="941"/>
      <c r="P441" s="984"/>
    </row>
    <row r="442" spans="3:16" s="942" customFormat="1" ht="19.5" customHeight="1" x14ac:dyDescent="0.25">
      <c r="C442" s="985"/>
      <c r="D442" s="933" t="s">
        <v>175</v>
      </c>
      <c r="E442" s="946">
        <v>400000000</v>
      </c>
      <c r="F442" s="940">
        <v>3903473585000</v>
      </c>
      <c r="G442" s="945">
        <f t="shared" si="11"/>
        <v>1.0247283382090569E-2</v>
      </c>
      <c r="H442" s="941"/>
      <c r="I442" s="941"/>
      <c r="J442" s="941"/>
      <c r="K442" s="941"/>
      <c r="L442" s="941"/>
      <c r="M442" s="941"/>
      <c r="N442" s="941"/>
      <c r="O442" s="941"/>
      <c r="P442" s="984"/>
    </row>
    <row r="443" spans="3:16" s="942" customFormat="1" ht="19.5" customHeight="1" x14ac:dyDescent="0.25">
      <c r="C443" s="985"/>
      <c r="D443" s="929" t="s">
        <v>833</v>
      </c>
      <c r="E443" s="947">
        <v>400000000</v>
      </c>
      <c r="F443" s="940">
        <v>3903473585000</v>
      </c>
      <c r="G443" s="945">
        <f t="shared" si="11"/>
        <v>1.0247283382090569E-2</v>
      </c>
      <c r="H443" s="941"/>
      <c r="I443" s="941"/>
      <c r="J443" s="941"/>
      <c r="K443" s="941"/>
      <c r="L443" s="941"/>
      <c r="M443" s="941"/>
      <c r="N443" s="941"/>
      <c r="O443" s="941"/>
      <c r="P443" s="984"/>
    </row>
    <row r="444" spans="3:16" s="942" customFormat="1" ht="19.5" customHeight="1" x14ac:dyDescent="0.25">
      <c r="C444" s="985"/>
      <c r="D444" s="933" t="s">
        <v>231</v>
      </c>
      <c r="E444" s="947">
        <v>8654500000</v>
      </c>
      <c r="F444" s="940">
        <v>3903473585000</v>
      </c>
      <c r="G444" s="945">
        <f t="shared" si="11"/>
        <v>0.22171278507575709</v>
      </c>
      <c r="H444" s="941"/>
      <c r="I444" s="941"/>
      <c r="J444" s="941"/>
      <c r="K444" s="941"/>
      <c r="L444" s="941"/>
      <c r="M444" s="941"/>
      <c r="N444" s="941"/>
      <c r="O444" s="941"/>
      <c r="P444" s="984"/>
    </row>
    <row r="445" spans="3:16" s="942" customFormat="1" ht="19.5" customHeight="1" x14ac:dyDescent="0.25">
      <c r="C445" s="985"/>
      <c r="D445" s="929" t="s">
        <v>4414</v>
      </c>
      <c r="E445" s="947">
        <v>50000000</v>
      </c>
      <c r="F445" s="940">
        <v>3903473585000</v>
      </c>
      <c r="G445" s="945">
        <f t="shared" si="11"/>
        <v>1.2809104227613211E-3</v>
      </c>
      <c r="H445" s="941"/>
      <c r="I445" s="941"/>
      <c r="J445" s="941"/>
      <c r="K445" s="941"/>
      <c r="L445" s="941"/>
      <c r="M445" s="941"/>
      <c r="N445" s="941"/>
      <c r="O445" s="941"/>
      <c r="P445" s="984"/>
    </row>
    <row r="446" spans="3:16" s="942" customFormat="1" ht="19.5" customHeight="1" x14ac:dyDescent="0.25">
      <c r="C446" s="985"/>
      <c r="D446" s="929" t="s">
        <v>4415</v>
      </c>
      <c r="E446" s="947">
        <v>2500000000</v>
      </c>
      <c r="F446" s="940">
        <v>3903473585000</v>
      </c>
      <c r="G446" s="945">
        <f t="shared" si="11"/>
        <v>6.4045521138066053E-2</v>
      </c>
      <c r="H446" s="941"/>
      <c r="I446" s="941"/>
      <c r="J446" s="941"/>
      <c r="K446" s="941"/>
      <c r="L446" s="941"/>
      <c r="M446" s="941"/>
      <c r="N446" s="941"/>
      <c r="O446" s="941"/>
      <c r="P446" s="984"/>
    </row>
    <row r="447" spans="3:16" s="942" customFormat="1" ht="19.5" customHeight="1" x14ac:dyDescent="0.25">
      <c r="C447" s="985"/>
      <c r="D447" s="929" t="s">
        <v>232</v>
      </c>
      <c r="E447" s="947">
        <v>6104500000</v>
      </c>
      <c r="F447" s="940">
        <v>3903473585000</v>
      </c>
      <c r="G447" s="945">
        <f t="shared" si="11"/>
        <v>0.15638635351492972</v>
      </c>
      <c r="H447" s="941"/>
      <c r="I447" s="941"/>
      <c r="J447" s="941"/>
      <c r="K447" s="941"/>
      <c r="L447" s="941"/>
      <c r="M447" s="941"/>
      <c r="N447" s="941"/>
      <c r="O447" s="941"/>
      <c r="P447" s="984"/>
    </row>
    <row r="448" spans="3:16" s="942" customFormat="1" ht="30" customHeight="1" x14ac:dyDescent="0.25">
      <c r="C448" s="985"/>
      <c r="D448" s="928" t="s">
        <v>233</v>
      </c>
      <c r="E448" s="946">
        <v>170406845397</v>
      </c>
      <c r="F448" s="940">
        <v>3903473585000</v>
      </c>
      <c r="G448" s="945">
        <f t="shared" si="11"/>
        <v>4.3655180875778878</v>
      </c>
      <c r="H448" s="941"/>
      <c r="I448" s="941"/>
      <c r="J448" s="941"/>
      <c r="K448" s="941"/>
      <c r="L448" s="941"/>
      <c r="M448" s="941"/>
      <c r="N448" s="941"/>
      <c r="O448" s="941"/>
      <c r="P448" s="984"/>
    </row>
    <row r="449" spans="3:16" s="942" customFormat="1" ht="19.5" customHeight="1" x14ac:dyDescent="0.25">
      <c r="C449" s="985"/>
      <c r="D449" s="929" t="s">
        <v>245</v>
      </c>
      <c r="E449" s="947">
        <v>36168000000</v>
      </c>
      <c r="F449" s="940">
        <v>3903473585000</v>
      </c>
      <c r="G449" s="945">
        <f t="shared" si="11"/>
        <v>0.92655936340862932</v>
      </c>
      <c r="H449" s="941"/>
      <c r="I449" s="941"/>
      <c r="J449" s="941"/>
      <c r="K449" s="941"/>
      <c r="L449" s="941"/>
      <c r="M449" s="941"/>
      <c r="N449" s="941"/>
      <c r="O449" s="941"/>
      <c r="P449" s="984"/>
    </row>
    <row r="450" spans="3:16" s="942" customFormat="1" ht="19.5" customHeight="1" x14ac:dyDescent="0.25">
      <c r="C450" s="985"/>
      <c r="D450" s="929" t="s">
        <v>234</v>
      </c>
      <c r="E450" s="947">
        <v>48331382126</v>
      </c>
      <c r="F450" s="940">
        <v>3903473585000</v>
      </c>
      <c r="G450" s="945">
        <f t="shared" si="11"/>
        <v>1.2381634222330724</v>
      </c>
      <c r="H450" s="941"/>
      <c r="I450" s="941"/>
      <c r="J450" s="941"/>
      <c r="K450" s="941"/>
      <c r="L450" s="941"/>
      <c r="M450" s="941"/>
      <c r="N450" s="941"/>
      <c r="O450" s="941"/>
      <c r="P450" s="984"/>
    </row>
    <row r="451" spans="3:16" s="942" customFormat="1" ht="19.5" customHeight="1" x14ac:dyDescent="0.25">
      <c r="C451" s="985"/>
      <c r="D451" s="929" t="s">
        <v>235</v>
      </c>
      <c r="E451" s="947">
        <v>22000000000</v>
      </c>
      <c r="F451" s="940">
        <v>3903473585000</v>
      </c>
      <c r="G451" s="945">
        <f t="shared" si="11"/>
        <v>0.56360058601498131</v>
      </c>
      <c r="H451" s="941"/>
      <c r="I451" s="941"/>
      <c r="J451" s="941"/>
      <c r="K451" s="941"/>
      <c r="L451" s="941"/>
      <c r="M451" s="941"/>
      <c r="N451" s="941"/>
      <c r="O451" s="941"/>
      <c r="P451" s="984"/>
    </row>
    <row r="452" spans="3:16" s="942" customFormat="1" ht="19.5" customHeight="1" x14ac:dyDescent="0.25">
      <c r="C452" s="985"/>
      <c r="D452" s="929" t="s">
        <v>4416</v>
      </c>
      <c r="E452" s="947">
        <v>1051000000</v>
      </c>
      <c r="F452" s="940">
        <v>3903473585000</v>
      </c>
      <c r="G452" s="945">
        <f t="shared" si="11"/>
        <v>2.6924737086442975E-2</v>
      </c>
      <c r="H452" s="941"/>
      <c r="I452" s="941"/>
      <c r="J452" s="941"/>
      <c r="K452" s="941"/>
      <c r="L452" s="941"/>
      <c r="M452" s="941"/>
      <c r="N452" s="941"/>
      <c r="O452" s="941"/>
      <c r="P452" s="984"/>
    </row>
    <row r="453" spans="3:16" s="942" customFormat="1" ht="34.5" customHeight="1" x14ac:dyDescent="0.25">
      <c r="C453" s="985"/>
      <c r="D453" s="929" t="s">
        <v>246</v>
      </c>
      <c r="E453" s="947">
        <v>5283500000</v>
      </c>
      <c r="F453" s="940">
        <v>3903473585000</v>
      </c>
      <c r="G453" s="945">
        <f t="shared" si="11"/>
        <v>0.13535380437318881</v>
      </c>
      <c r="H453" s="941"/>
      <c r="I453" s="941"/>
      <c r="J453" s="941"/>
      <c r="K453" s="941"/>
      <c r="L453" s="941"/>
      <c r="M453" s="941"/>
      <c r="N453" s="941"/>
      <c r="O453" s="941"/>
      <c r="P453" s="984"/>
    </row>
    <row r="454" spans="3:16" s="942" customFormat="1" ht="19.5" customHeight="1" x14ac:dyDescent="0.25">
      <c r="C454" s="985"/>
      <c r="D454" s="929" t="s">
        <v>236</v>
      </c>
      <c r="E454" s="947">
        <v>5079600000</v>
      </c>
      <c r="F454" s="940">
        <v>3903473585000</v>
      </c>
      <c r="G454" s="945">
        <f t="shared" si="11"/>
        <v>0.13013025166916814</v>
      </c>
      <c r="H454" s="941"/>
      <c r="I454" s="941"/>
      <c r="J454" s="941"/>
      <c r="K454" s="941"/>
      <c r="L454" s="941"/>
      <c r="M454" s="941"/>
      <c r="N454" s="941"/>
      <c r="O454" s="941"/>
      <c r="P454" s="984"/>
    </row>
    <row r="455" spans="3:16" s="942" customFormat="1" ht="19.5" customHeight="1" x14ac:dyDescent="0.25">
      <c r="C455" s="985"/>
      <c r="D455" s="929" t="s">
        <v>237</v>
      </c>
      <c r="E455" s="947">
        <v>3284000000</v>
      </c>
      <c r="F455" s="940">
        <v>3903473585000</v>
      </c>
      <c r="G455" s="945">
        <f t="shared" si="11"/>
        <v>8.4130196566963578E-2</v>
      </c>
      <c r="H455" s="941"/>
      <c r="I455" s="941"/>
      <c r="J455" s="941"/>
      <c r="K455" s="941"/>
      <c r="L455" s="941"/>
      <c r="M455" s="941"/>
      <c r="N455" s="941"/>
      <c r="O455" s="941"/>
      <c r="P455" s="984"/>
    </row>
    <row r="456" spans="3:16" s="942" customFormat="1" ht="19.5" customHeight="1" x14ac:dyDescent="0.25">
      <c r="C456" s="985"/>
      <c r="D456" s="929" t="s">
        <v>4417</v>
      </c>
      <c r="E456" s="947">
        <v>3849750000</v>
      </c>
      <c r="F456" s="940">
        <v>3903473585000</v>
      </c>
      <c r="G456" s="945">
        <f t="shared" si="11"/>
        <v>9.8623698000507923E-2</v>
      </c>
      <c r="H456" s="941"/>
      <c r="I456" s="941"/>
      <c r="J456" s="941"/>
      <c r="K456" s="941"/>
      <c r="L456" s="941"/>
      <c r="M456" s="941"/>
      <c r="N456" s="941"/>
      <c r="O456" s="941"/>
      <c r="P456" s="984"/>
    </row>
    <row r="457" spans="3:16" s="942" customFormat="1" ht="19.5" customHeight="1" x14ac:dyDescent="0.25">
      <c r="C457" s="985"/>
      <c r="D457" s="929" t="s">
        <v>238</v>
      </c>
      <c r="E457" s="947">
        <v>4545255771</v>
      </c>
      <c r="F457" s="940">
        <v>3903473585000</v>
      </c>
      <c r="G457" s="945">
        <f t="shared" si="11"/>
        <v>0.1164413098237989</v>
      </c>
      <c r="H457" s="941"/>
      <c r="I457" s="941"/>
      <c r="J457" s="941"/>
      <c r="K457" s="941"/>
      <c r="L457" s="941"/>
      <c r="M457" s="941"/>
      <c r="N457" s="941"/>
      <c r="O457" s="941"/>
      <c r="P457" s="984"/>
    </row>
    <row r="458" spans="3:16" s="942" customFormat="1" ht="19.5" customHeight="1" x14ac:dyDescent="0.25">
      <c r="C458" s="985"/>
      <c r="D458" s="929" t="s">
        <v>239</v>
      </c>
      <c r="E458" s="947">
        <v>31900000000</v>
      </c>
      <c r="F458" s="940">
        <v>3903473585000</v>
      </c>
      <c r="G458" s="945">
        <f t="shared" si="11"/>
        <v>0.81722084972172293</v>
      </c>
      <c r="H458" s="941"/>
      <c r="I458" s="941"/>
      <c r="J458" s="941"/>
      <c r="K458" s="941"/>
      <c r="L458" s="941"/>
      <c r="M458" s="941"/>
      <c r="N458" s="941"/>
      <c r="O458" s="941"/>
      <c r="P458" s="984"/>
    </row>
    <row r="459" spans="3:16" s="942" customFormat="1" ht="19.5" customHeight="1" x14ac:dyDescent="0.25">
      <c r="C459" s="985"/>
      <c r="D459" s="929" t="s">
        <v>4418</v>
      </c>
      <c r="E459" s="947">
        <v>8914357500</v>
      </c>
      <c r="F459" s="940">
        <v>3903473585000</v>
      </c>
      <c r="G459" s="945">
        <f t="shared" si="11"/>
        <v>0.22836986867941109</v>
      </c>
      <c r="H459" s="941"/>
      <c r="I459" s="941"/>
      <c r="J459" s="941"/>
      <c r="K459" s="941"/>
      <c r="L459" s="941"/>
      <c r="M459" s="941"/>
      <c r="N459" s="941"/>
      <c r="O459" s="941"/>
      <c r="P459" s="984"/>
    </row>
    <row r="460" spans="3:16" s="942" customFormat="1" ht="30" customHeight="1" x14ac:dyDescent="0.25">
      <c r="C460" s="985"/>
      <c r="D460" s="928" t="s">
        <v>240</v>
      </c>
      <c r="E460" s="946">
        <v>11038000000</v>
      </c>
      <c r="F460" s="940">
        <v>3903473585000</v>
      </c>
      <c r="G460" s="945">
        <f t="shared" si="11"/>
        <v>0.28277378492878924</v>
      </c>
      <c r="H460" s="941"/>
      <c r="I460" s="941"/>
      <c r="J460" s="941"/>
      <c r="K460" s="941"/>
      <c r="L460" s="941"/>
      <c r="M460" s="941"/>
      <c r="N460" s="941"/>
      <c r="O460" s="941"/>
      <c r="P460" s="984"/>
    </row>
    <row r="461" spans="3:16" s="942" customFormat="1" ht="19.5" customHeight="1" x14ac:dyDescent="0.25">
      <c r="C461" s="985"/>
      <c r="D461" s="929" t="s">
        <v>4419</v>
      </c>
      <c r="E461" s="947">
        <v>5500000000</v>
      </c>
      <c r="F461" s="940">
        <v>3903473585000</v>
      </c>
      <c r="G461" s="945">
        <f t="shared" si="11"/>
        <v>0.14090014650374533</v>
      </c>
      <c r="H461" s="941"/>
      <c r="I461" s="941"/>
      <c r="J461" s="941"/>
      <c r="K461" s="941"/>
      <c r="L461" s="941"/>
      <c r="M461" s="941"/>
      <c r="N461" s="941"/>
      <c r="O461" s="941"/>
      <c r="P461" s="984"/>
    </row>
    <row r="462" spans="3:16" s="942" customFormat="1" ht="19.5" customHeight="1" x14ac:dyDescent="0.25">
      <c r="C462" s="985"/>
      <c r="D462" s="929" t="s">
        <v>241</v>
      </c>
      <c r="E462" s="947">
        <v>5538000000</v>
      </c>
      <c r="F462" s="940">
        <v>3903473585000</v>
      </c>
      <c r="G462" s="945">
        <f t="shared" si="11"/>
        <v>0.14187363842504394</v>
      </c>
      <c r="H462" s="941"/>
      <c r="I462" s="941"/>
      <c r="J462" s="941"/>
      <c r="K462" s="941"/>
      <c r="L462" s="941"/>
      <c r="M462" s="941"/>
      <c r="N462" s="941"/>
      <c r="O462" s="941"/>
      <c r="P462" s="984"/>
    </row>
    <row r="463" spans="3:16" s="942" customFormat="1" ht="19.5" customHeight="1" x14ac:dyDescent="0.25">
      <c r="C463" s="985"/>
      <c r="D463" s="933" t="s">
        <v>198</v>
      </c>
      <c r="E463" s="946">
        <v>328400000</v>
      </c>
      <c r="F463" s="940">
        <v>3903473585000</v>
      </c>
      <c r="G463" s="945">
        <f t="shared" si="11"/>
        <v>8.4130196566963578E-3</v>
      </c>
      <c r="H463" s="941"/>
      <c r="I463" s="941"/>
      <c r="J463" s="941"/>
      <c r="K463" s="941"/>
      <c r="L463" s="941"/>
      <c r="M463" s="941"/>
      <c r="N463" s="941"/>
      <c r="O463" s="941"/>
      <c r="P463" s="984"/>
    </row>
    <row r="464" spans="3:16" s="942" customFormat="1" ht="19.5" customHeight="1" x14ac:dyDescent="0.25">
      <c r="C464" s="985"/>
      <c r="D464" s="929" t="s">
        <v>4316</v>
      </c>
      <c r="E464" s="947">
        <v>164200000</v>
      </c>
      <c r="F464" s="940">
        <v>3903473585000</v>
      </c>
      <c r="G464" s="945">
        <f t="shared" si="11"/>
        <v>4.2065098283481789E-3</v>
      </c>
      <c r="H464" s="941"/>
      <c r="I464" s="941"/>
      <c r="J464" s="941"/>
      <c r="K464" s="941"/>
      <c r="L464" s="941"/>
      <c r="M464" s="941"/>
      <c r="N464" s="941"/>
      <c r="O464" s="941"/>
      <c r="P464" s="984"/>
    </row>
    <row r="465" spans="3:16" s="942" customFormat="1" ht="19.5" customHeight="1" x14ac:dyDescent="0.25">
      <c r="C465" s="985"/>
      <c r="D465" s="929" t="s">
        <v>4420</v>
      </c>
      <c r="E465" s="947">
        <v>164200000</v>
      </c>
      <c r="F465" s="940">
        <v>3903473585000</v>
      </c>
      <c r="G465" s="945">
        <f t="shared" si="11"/>
        <v>4.2065098283481789E-3</v>
      </c>
      <c r="H465" s="941"/>
      <c r="I465" s="941"/>
      <c r="J465" s="941"/>
      <c r="K465" s="941"/>
      <c r="L465" s="941"/>
      <c r="M465" s="941"/>
      <c r="N465" s="941"/>
      <c r="O465" s="941"/>
      <c r="P465" s="984"/>
    </row>
    <row r="466" spans="3:16" s="942" customFormat="1" ht="19.5" customHeight="1" x14ac:dyDescent="0.25">
      <c r="C466" s="985"/>
      <c r="D466" s="933" t="s">
        <v>4317</v>
      </c>
      <c r="E466" s="946">
        <v>61000000000</v>
      </c>
      <c r="F466" s="940">
        <v>3903473585000</v>
      </c>
      <c r="G466" s="945">
        <f t="shared" si="11"/>
        <v>1.5627107157688118</v>
      </c>
      <c r="H466" s="941"/>
      <c r="I466" s="941"/>
      <c r="J466" s="941"/>
      <c r="K466" s="941"/>
      <c r="L466" s="941"/>
      <c r="M466" s="941"/>
      <c r="N466" s="941"/>
      <c r="O466" s="941"/>
      <c r="P466" s="984"/>
    </row>
    <row r="467" spans="3:16" s="942" customFormat="1" ht="19.5" customHeight="1" x14ac:dyDescent="0.25">
      <c r="C467" s="985"/>
      <c r="D467" s="929" t="s">
        <v>4421</v>
      </c>
      <c r="E467" s="947">
        <v>61000000000</v>
      </c>
      <c r="F467" s="940">
        <v>3903473585000</v>
      </c>
      <c r="G467" s="945">
        <f t="shared" si="11"/>
        <v>1.5627107157688118</v>
      </c>
      <c r="H467" s="941"/>
      <c r="I467" s="941"/>
      <c r="J467" s="941"/>
      <c r="K467" s="941"/>
      <c r="L467" s="941"/>
      <c r="M467" s="941"/>
      <c r="N467" s="941"/>
      <c r="O467" s="941"/>
      <c r="P467" s="984"/>
    </row>
    <row r="468" spans="3:16" s="942" customFormat="1" ht="19.5" customHeight="1" x14ac:dyDescent="0.25">
      <c r="C468" s="985"/>
      <c r="D468" s="933" t="s">
        <v>202</v>
      </c>
      <c r="E468" s="946">
        <v>400000000</v>
      </c>
      <c r="F468" s="940">
        <v>3903473585000</v>
      </c>
      <c r="G468" s="945">
        <f t="shared" si="11"/>
        <v>1.0247283382090569E-2</v>
      </c>
      <c r="H468" s="941"/>
      <c r="I468" s="941"/>
      <c r="J468" s="941"/>
      <c r="K468" s="941"/>
      <c r="L468" s="941"/>
      <c r="M468" s="941"/>
      <c r="N468" s="941"/>
      <c r="O468" s="941"/>
      <c r="P468" s="984"/>
    </row>
    <row r="469" spans="3:16" s="942" customFormat="1" ht="19.5" customHeight="1" x14ac:dyDescent="0.25">
      <c r="C469" s="985"/>
      <c r="D469" s="929" t="s">
        <v>242</v>
      </c>
      <c r="E469" s="947">
        <v>400000000</v>
      </c>
      <c r="F469" s="940">
        <v>3903473585000</v>
      </c>
      <c r="G469" s="945">
        <f t="shared" si="11"/>
        <v>1.0247283382090569E-2</v>
      </c>
      <c r="H469" s="941"/>
      <c r="I469" s="941"/>
      <c r="J469" s="941"/>
      <c r="K469" s="941"/>
      <c r="L469" s="941"/>
      <c r="M469" s="941"/>
      <c r="N469" s="941"/>
      <c r="O469" s="941"/>
      <c r="P469" s="984"/>
    </row>
    <row r="470" spans="3:16" s="942" customFormat="1" ht="19.5" customHeight="1" x14ac:dyDescent="0.25">
      <c r="C470" s="985"/>
      <c r="D470" s="967"/>
      <c r="E470" s="875"/>
      <c r="F470" s="940">
        <v>3903473585000</v>
      </c>
      <c r="G470" s="945">
        <f t="shared" si="11"/>
        <v>0</v>
      </c>
      <c r="H470" s="941"/>
      <c r="I470" s="941"/>
      <c r="J470" s="941"/>
      <c r="K470" s="941"/>
      <c r="L470" s="941"/>
      <c r="M470" s="941"/>
      <c r="N470" s="941"/>
      <c r="O470" s="941"/>
      <c r="P470" s="984"/>
    </row>
    <row r="471" spans="3:16" s="942" customFormat="1" ht="19.5" customHeight="1" x14ac:dyDescent="0.25">
      <c r="C471" s="985"/>
      <c r="D471" s="933" t="s">
        <v>243</v>
      </c>
      <c r="E471" s="948">
        <f>+E472+E475+E481</f>
        <v>140000000000</v>
      </c>
      <c r="F471" s="940">
        <v>3903473585000</v>
      </c>
      <c r="G471" s="945">
        <f t="shared" si="11"/>
        <v>3.5865491837316994</v>
      </c>
      <c r="H471" s="941"/>
      <c r="I471" s="941"/>
      <c r="J471" s="941"/>
      <c r="K471" s="941"/>
      <c r="L471" s="941"/>
      <c r="M471" s="941"/>
      <c r="N471" s="941"/>
      <c r="O471" s="941"/>
      <c r="P471" s="984"/>
    </row>
    <row r="472" spans="3:16" s="942" customFormat="1" ht="19.5" customHeight="1" x14ac:dyDescent="0.25">
      <c r="C472" s="985"/>
      <c r="D472" s="933" t="s">
        <v>166</v>
      </c>
      <c r="E472" s="946">
        <v>73500000000</v>
      </c>
      <c r="F472" s="940">
        <v>3903473585000</v>
      </c>
      <c r="G472" s="945">
        <f t="shared" si="11"/>
        <v>1.8829383214591422</v>
      </c>
      <c r="H472" s="941"/>
      <c r="I472" s="941"/>
      <c r="J472" s="941"/>
      <c r="K472" s="941"/>
      <c r="L472" s="941"/>
      <c r="M472" s="941"/>
      <c r="N472" s="941"/>
      <c r="O472" s="941"/>
      <c r="P472" s="984"/>
    </row>
    <row r="473" spans="3:16" s="942" customFormat="1" ht="19.5" customHeight="1" x14ac:dyDescent="0.25">
      <c r="C473" s="985"/>
      <c r="D473" s="929" t="s">
        <v>698</v>
      </c>
      <c r="E473" s="947">
        <v>20000000000</v>
      </c>
      <c r="F473" s="940">
        <v>3903473585000</v>
      </c>
      <c r="G473" s="945">
        <f t="shared" si="11"/>
        <v>0.51236416910452842</v>
      </c>
      <c r="H473" s="941"/>
      <c r="I473" s="941"/>
      <c r="J473" s="941"/>
      <c r="K473" s="941"/>
      <c r="L473" s="941"/>
      <c r="M473" s="941"/>
      <c r="N473" s="941"/>
      <c r="O473" s="941"/>
      <c r="P473" s="984"/>
    </row>
    <row r="474" spans="3:16" s="942" customFormat="1" ht="19.5" customHeight="1" x14ac:dyDescent="0.25">
      <c r="C474" s="985"/>
      <c r="D474" s="929" t="s">
        <v>4422</v>
      </c>
      <c r="E474" s="947">
        <v>53500000000</v>
      </c>
      <c r="F474" s="940">
        <v>3903473585000</v>
      </c>
      <c r="G474" s="945">
        <f t="shared" si="11"/>
        <v>1.3705741523546138</v>
      </c>
      <c r="H474" s="941"/>
      <c r="I474" s="941"/>
      <c r="J474" s="941"/>
      <c r="K474" s="941"/>
      <c r="L474" s="941"/>
      <c r="M474" s="941"/>
      <c r="N474" s="941"/>
      <c r="O474" s="941"/>
      <c r="P474" s="984"/>
    </row>
    <row r="475" spans="3:16" s="942" customFormat="1" ht="30" customHeight="1" x14ac:dyDescent="0.25">
      <c r="C475" s="985"/>
      <c r="D475" s="928" t="s">
        <v>233</v>
      </c>
      <c r="E475" s="946">
        <v>61823338000</v>
      </c>
      <c r="F475" s="940">
        <v>3903473585000</v>
      </c>
      <c r="G475" s="945">
        <f t="shared" si="11"/>
        <v>1.5838031602819209</v>
      </c>
      <c r="H475" s="941"/>
      <c r="I475" s="941"/>
      <c r="J475" s="941"/>
      <c r="K475" s="941"/>
      <c r="L475" s="941"/>
      <c r="M475" s="941"/>
      <c r="N475" s="941"/>
      <c r="O475" s="941"/>
      <c r="P475" s="984"/>
    </row>
    <row r="476" spans="3:16" s="942" customFormat="1" ht="19.5" customHeight="1" x14ac:dyDescent="0.25">
      <c r="C476" s="985"/>
      <c r="D476" s="929" t="s">
        <v>245</v>
      </c>
      <c r="E476" s="947">
        <v>18400000000</v>
      </c>
      <c r="F476" s="940">
        <v>3903473585000</v>
      </c>
      <c r="G476" s="945">
        <f t="shared" si="11"/>
        <v>0.47137503557616622</v>
      </c>
      <c r="H476" s="941"/>
      <c r="I476" s="941"/>
      <c r="J476" s="941"/>
      <c r="K476" s="941"/>
      <c r="L476" s="941"/>
      <c r="M476" s="941"/>
      <c r="N476" s="941"/>
      <c r="O476" s="941"/>
      <c r="P476" s="984"/>
    </row>
    <row r="477" spans="3:16" s="942" customFormat="1" ht="19.5" customHeight="1" x14ac:dyDescent="0.25">
      <c r="C477" s="985"/>
      <c r="D477" s="929" t="s">
        <v>234</v>
      </c>
      <c r="E477" s="947">
        <v>24740000500</v>
      </c>
      <c r="F477" s="940">
        <v>3903473585000</v>
      </c>
      <c r="G477" s="945">
        <f t="shared" si="11"/>
        <v>0.63379448999140597</v>
      </c>
      <c r="H477" s="941"/>
      <c r="I477" s="941"/>
      <c r="J477" s="941"/>
      <c r="K477" s="941"/>
      <c r="L477" s="941"/>
      <c r="M477" s="941"/>
      <c r="N477" s="941"/>
      <c r="O477" s="941"/>
      <c r="P477" s="984"/>
    </row>
    <row r="478" spans="3:16" s="942" customFormat="1" ht="19.5" customHeight="1" x14ac:dyDescent="0.25">
      <c r="C478" s="985"/>
      <c r="D478" s="929" t="s">
        <v>235</v>
      </c>
      <c r="E478" s="947">
        <v>8000000000</v>
      </c>
      <c r="F478" s="940">
        <v>3903473585000</v>
      </c>
      <c r="G478" s="945">
        <f t="shared" si="11"/>
        <v>0.20494566764181141</v>
      </c>
      <c r="H478" s="941"/>
      <c r="I478" s="941"/>
      <c r="J478" s="941"/>
      <c r="K478" s="941"/>
      <c r="L478" s="941"/>
      <c r="M478" s="941"/>
      <c r="N478" s="941"/>
      <c r="O478" s="941"/>
      <c r="P478" s="984"/>
    </row>
    <row r="479" spans="3:16" s="942" customFormat="1" ht="34.5" customHeight="1" x14ac:dyDescent="0.25">
      <c r="C479" s="985"/>
      <c r="D479" s="929" t="s">
        <v>246</v>
      </c>
      <c r="E479" s="947">
        <v>4683337500</v>
      </c>
      <c r="F479" s="940">
        <v>3903473585000</v>
      </c>
      <c r="G479" s="945">
        <f t="shared" si="11"/>
        <v>0.11997871634117899</v>
      </c>
      <c r="H479" s="941"/>
      <c r="I479" s="941"/>
      <c r="J479" s="941"/>
      <c r="K479" s="941"/>
      <c r="L479" s="941"/>
      <c r="M479" s="941"/>
      <c r="N479" s="941"/>
      <c r="O479" s="941"/>
      <c r="P479" s="984"/>
    </row>
    <row r="480" spans="3:16" s="942" customFormat="1" ht="19.5" customHeight="1" x14ac:dyDescent="0.25">
      <c r="C480" s="985"/>
      <c r="D480" s="929" t="s">
        <v>238</v>
      </c>
      <c r="E480" s="947">
        <v>6000000000</v>
      </c>
      <c r="F480" s="940">
        <v>3903473585000</v>
      </c>
      <c r="G480" s="945">
        <f t="shared" si="11"/>
        <v>0.15370925073135852</v>
      </c>
      <c r="H480" s="941"/>
      <c r="I480" s="941"/>
      <c r="J480" s="941"/>
      <c r="K480" s="941"/>
      <c r="L480" s="941"/>
      <c r="M480" s="941"/>
      <c r="N480" s="941"/>
      <c r="O480" s="941"/>
      <c r="P480" s="984"/>
    </row>
    <row r="481" spans="3:16" s="942" customFormat="1" ht="32.25" customHeight="1" x14ac:dyDescent="0.25">
      <c r="C481" s="985"/>
      <c r="D481" s="928" t="s">
        <v>240</v>
      </c>
      <c r="E481" s="946">
        <v>4676662000</v>
      </c>
      <c r="F481" s="940">
        <v>3903473585000</v>
      </c>
      <c r="G481" s="945">
        <f t="shared" si="11"/>
        <v>0.11980770199063612</v>
      </c>
      <c r="H481" s="941"/>
      <c r="I481" s="941"/>
      <c r="J481" s="941"/>
      <c r="K481" s="941"/>
      <c r="L481" s="941"/>
      <c r="M481" s="941"/>
      <c r="N481" s="941"/>
      <c r="O481" s="941"/>
      <c r="P481" s="984"/>
    </row>
    <row r="482" spans="3:16" s="942" customFormat="1" ht="34.5" customHeight="1" x14ac:dyDescent="0.25">
      <c r="C482" s="985"/>
      <c r="D482" s="929" t="s">
        <v>247</v>
      </c>
      <c r="E482" s="947">
        <v>4176662000</v>
      </c>
      <c r="F482" s="940">
        <v>3903473585000</v>
      </c>
      <c r="G482" s="945">
        <f t="shared" si="11"/>
        <v>0.1069985977630229</v>
      </c>
      <c r="H482" s="941"/>
      <c r="I482" s="941"/>
      <c r="J482" s="941"/>
      <c r="K482" s="941"/>
      <c r="L482" s="941"/>
      <c r="M482" s="941"/>
      <c r="N482" s="941"/>
      <c r="O482" s="941"/>
      <c r="P482" s="984"/>
    </row>
    <row r="483" spans="3:16" s="942" customFormat="1" ht="19.5" customHeight="1" x14ac:dyDescent="0.25">
      <c r="C483" s="985"/>
      <c r="D483" s="929" t="s">
        <v>4423</v>
      </c>
      <c r="E483" s="947">
        <v>500000000</v>
      </c>
      <c r="F483" s="940">
        <v>3903473585000</v>
      </c>
      <c r="G483" s="945">
        <f t="shared" si="11"/>
        <v>1.2809104227613213E-2</v>
      </c>
      <c r="H483" s="941"/>
      <c r="I483" s="941"/>
      <c r="J483" s="941"/>
      <c r="K483" s="941"/>
      <c r="L483" s="941"/>
      <c r="M483" s="941"/>
      <c r="N483" s="941"/>
      <c r="O483" s="941"/>
      <c r="P483" s="984"/>
    </row>
    <row r="484" spans="3:16" s="942" customFormat="1" ht="19.5" customHeight="1" x14ac:dyDescent="0.25">
      <c r="C484" s="985"/>
      <c r="D484" s="967"/>
      <c r="E484" s="949"/>
      <c r="F484" s="940">
        <v>3903473585000</v>
      </c>
      <c r="G484" s="945">
        <f t="shared" si="11"/>
        <v>0</v>
      </c>
      <c r="H484" s="941"/>
      <c r="I484" s="941"/>
      <c r="J484" s="941"/>
      <c r="K484" s="941"/>
      <c r="L484" s="941"/>
      <c r="M484" s="941"/>
      <c r="N484" s="941"/>
      <c r="O484" s="941"/>
      <c r="P484" s="984"/>
    </row>
    <row r="485" spans="3:16" s="942" customFormat="1" ht="19.5" customHeight="1" x14ac:dyDescent="0.25">
      <c r="C485" s="985"/>
      <c r="D485" s="933" t="s">
        <v>248</v>
      </c>
      <c r="E485" s="948">
        <f>+E486+E489+E491+E498+E500+E502</f>
        <v>50000000000</v>
      </c>
      <c r="F485" s="940">
        <v>3903473585000</v>
      </c>
      <c r="G485" s="945">
        <f t="shared" si="11"/>
        <v>1.2809104227613211</v>
      </c>
      <c r="H485" s="941"/>
      <c r="I485" s="941"/>
      <c r="J485" s="941"/>
      <c r="K485" s="941"/>
      <c r="L485" s="941"/>
      <c r="M485" s="941"/>
      <c r="N485" s="941"/>
      <c r="O485" s="941"/>
      <c r="P485" s="984"/>
    </row>
    <row r="486" spans="3:16" s="942" customFormat="1" ht="19.5" customHeight="1" x14ac:dyDescent="0.25">
      <c r="C486" s="985"/>
      <c r="D486" s="933" t="s">
        <v>227</v>
      </c>
      <c r="E486" s="946">
        <v>2368020000</v>
      </c>
      <c r="F486" s="940">
        <v>3903473585000</v>
      </c>
      <c r="G486" s="945">
        <f t="shared" si="11"/>
        <v>6.0664429986145275E-2</v>
      </c>
      <c r="H486" s="941"/>
      <c r="I486" s="941"/>
      <c r="J486" s="941"/>
      <c r="K486" s="941"/>
      <c r="L486" s="941"/>
      <c r="M486" s="941"/>
      <c r="N486" s="941"/>
      <c r="O486" s="941"/>
      <c r="P486" s="984"/>
    </row>
    <row r="487" spans="3:16" s="942" customFormat="1" ht="19.5" customHeight="1" x14ac:dyDescent="0.25">
      <c r="C487" s="985"/>
      <c r="D487" s="929" t="s">
        <v>228</v>
      </c>
      <c r="E487" s="947">
        <v>634020000</v>
      </c>
      <c r="F487" s="940">
        <v>3903473585000</v>
      </c>
      <c r="G487" s="945">
        <f t="shared" si="11"/>
        <v>1.6242456524782657E-2</v>
      </c>
      <c r="H487" s="941"/>
      <c r="I487" s="941"/>
      <c r="J487" s="941"/>
      <c r="K487" s="941"/>
      <c r="L487" s="941"/>
      <c r="M487" s="941"/>
      <c r="N487" s="941"/>
      <c r="O487" s="941"/>
      <c r="P487" s="984"/>
    </row>
    <row r="488" spans="3:16" s="942" customFormat="1" ht="19.5" customHeight="1" x14ac:dyDescent="0.25">
      <c r="C488" s="985"/>
      <c r="D488" s="929" t="s">
        <v>229</v>
      </c>
      <c r="E488" s="947">
        <v>1734000000</v>
      </c>
      <c r="F488" s="940">
        <v>3903473585000</v>
      </c>
      <c r="G488" s="945">
        <f t="shared" si="11"/>
        <v>4.4421973461362618E-2</v>
      </c>
      <c r="H488" s="941"/>
      <c r="I488" s="941"/>
      <c r="J488" s="941"/>
      <c r="K488" s="941"/>
      <c r="L488" s="941"/>
      <c r="M488" s="941"/>
      <c r="N488" s="941"/>
      <c r="O488" s="941"/>
      <c r="P488" s="984"/>
    </row>
    <row r="489" spans="3:16" s="942" customFormat="1" ht="19.5" customHeight="1" x14ac:dyDescent="0.25">
      <c r="C489" s="985"/>
      <c r="D489" s="933" t="s">
        <v>249</v>
      </c>
      <c r="E489" s="946">
        <v>50000000</v>
      </c>
      <c r="F489" s="940">
        <v>3903473585000</v>
      </c>
      <c r="G489" s="945">
        <f t="shared" si="11"/>
        <v>1.2809104227613211E-3</v>
      </c>
      <c r="H489" s="941"/>
      <c r="I489" s="941"/>
      <c r="J489" s="941"/>
      <c r="K489" s="941"/>
      <c r="L489" s="941"/>
      <c r="M489" s="941"/>
      <c r="N489" s="941"/>
      <c r="O489" s="941"/>
      <c r="P489" s="984"/>
    </row>
    <row r="490" spans="3:16" s="942" customFormat="1" ht="19.5" customHeight="1" x14ac:dyDescent="0.25">
      <c r="C490" s="985"/>
      <c r="D490" s="929" t="s">
        <v>250</v>
      </c>
      <c r="E490" s="947">
        <v>50000000</v>
      </c>
      <c r="F490" s="940">
        <v>3903473585000</v>
      </c>
      <c r="G490" s="945">
        <f t="shared" si="11"/>
        <v>1.2809104227613211E-3</v>
      </c>
      <c r="H490" s="941"/>
      <c r="I490" s="941"/>
      <c r="J490" s="941"/>
      <c r="K490" s="941"/>
      <c r="L490" s="941"/>
      <c r="M490" s="941"/>
      <c r="N490" s="941"/>
      <c r="O490" s="941"/>
      <c r="P490" s="984"/>
    </row>
    <row r="491" spans="3:16" s="942" customFormat="1" ht="33.75" customHeight="1" x14ac:dyDescent="0.25">
      <c r="C491" s="985"/>
      <c r="D491" s="928" t="s">
        <v>233</v>
      </c>
      <c r="E491" s="946">
        <v>25809002000</v>
      </c>
      <c r="F491" s="940">
        <v>3903473585000</v>
      </c>
      <c r="G491" s="945">
        <f t="shared" si="11"/>
        <v>0.66118039325735567</v>
      </c>
      <c r="H491" s="941"/>
      <c r="I491" s="941"/>
      <c r="J491" s="941"/>
      <c r="K491" s="941"/>
      <c r="L491" s="941"/>
      <c r="M491" s="941"/>
      <c r="N491" s="941"/>
      <c r="O491" s="941"/>
      <c r="P491" s="984"/>
    </row>
    <row r="492" spans="3:16" s="942" customFormat="1" ht="19.5" customHeight="1" x14ac:dyDescent="0.25">
      <c r="C492" s="985"/>
      <c r="D492" s="929" t="s">
        <v>245</v>
      </c>
      <c r="E492" s="947">
        <v>12000000000</v>
      </c>
      <c r="F492" s="940">
        <v>3903473585000</v>
      </c>
      <c r="G492" s="945">
        <f t="shared" si="11"/>
        <v>0.30741850146271704</v>
      </c>
      <c r="H492" s="941"/>
      <c r="I492" s="941"/>
      <c r="J492" s="941"/>
      <c r="K492" s="941"/>
      <c r="L492" s="941"/>
      <c r="M492" s="941"/>
      <c r="N492" s="941"/>
      <c r="O492" s="941"/>
      <c r="P492" s="984"/>
    </row>
    <row r="493" spans="3:16" s="942" customFormat="1" ht="19.5" customHeight="1" x14ac:dyDescent="0.25">
      <c r="C493" s="985"/>
      <c r="D493" s="929" t="s">
        <v>251</v>
      </c>
      <c r="E493" s="947">
        <v>3250000000</v>
      </c>
      <c r="F493" s="940">
        <v>3903473585000</v>
      </c>
      <c r="G493" s="945">
        <f t="shared" si="11"/>
        <v>8.3259177479485871E-2</v>
      </c>
      <c r="H493" s="941"/>
      <c r="I493" s="941"/>
      <c r="J493" s="941"/>
      <c r="K493" s="941"/>
      <c r="L493" s="941"/>
      <c r="M493" s="941"/>
      <c r="N493" s="941"/>
      <c r="O493" s="941"/>
      <c r="P493" s="984"/>
    </row>
    <row r="494" spans="3:16" s="942" customFormat="1" ht="19.5" customHeight="1" x14ac:dyDescent="0.25">
      <c r="C494" s="985"/>
      <c r="D494" s="929" t="s">
        <v>234</v>
      </c>
      <c r="E494" s="947">
        <v>4683283000</v>
      </c>
      <c r="F494" s="940">
        <v>3903473585000</v>
      </c>
      <c r="G494" s="945">
        <f t="shared" si="11"/>
        <v>0.11997732014881818</v>
      </c>
      <c r="H494" s="941"/>
      <c r="I494" s="941"/>
      <c r="J494" s="941"/>
      <c r="K494" s="941"/>
      <c r="L494" s="941"/>
      <c r="M494" s="941"/>
      <c r="N494" s="941"/>
      <c r="O494" s="941"/>
      <c r="P494" s="984"/>
    </row>
    <row r="495" spans="3:16" s="942" customFormat="1" ht="35.25" customHeight="1" x14ac:dyDescent="0.25">
      <c r="C495" s="985"/>
      <c r="D495" s="929" t="s">
        <v>246</v>
      </c>
      <c r="E495" s="947">
        <v>2153719000</v>
      </c>
      <c r="F495" s="940">
        <v>3903473585000</v>
      </c>
      <c r="G495" s="945">
        <f t="shared" si="11"/>
        <v>5.5174422295981795E-2</v>
      </c>
      <c r="H495" s="941"/>
      <c r="I495" s="941"/>
      <c r="J495" s="941"/>
      <c r="K495" s="941"/>
      <c r="L495" s="941"/>
      <c r="M495" s="941"/>
      <c r="N495" s="941"/>
      <c r="O495" s="941"/>
      <c r="P495" s="984"/>
    </row>
    <row r="496" spans="3:16" s="942" customFormat="1" ht="19.5" customHeight="1" x14ac:dyDescent="0.25">
      <c r="C496" s="985"/>
      <c r="D496" s="929" t="s">
        <v>236</v>
      </c>
      <c r="E496" s="947">
        <v>218000000</v>
      </c>
      <c r="F496" s="940">
        <v>3903473585000</v>
      </c>
      <c r="G496" s="945">
        <f t="shared" si="11"/>
        <v>5.58476944323936E-3</v>
      </c>
      <c r="H496" s="941"/>
      <c r="I496" s="941"/>
      <c r="J496" s="941"/>
      <c r="K496" s="941"/>
      <c r="L496" s="941"/>
      <c r="M496" s="941"/>
      <c r="N496" s="941"/>
      <c r="O496" s="941"/>
      <c r="P496" s="984"/>
    </row>
    <row r="497" spans="3:16" s="942" customFormat="1" ht="19.5" customHeight="1" x14ac:dyDescent="0.25">
      <c r="C497" s="985"/>
      <c r="D497" s="929" t="s">
        <v>238</v>
      </c>
      <c r="E497" s="947">
        <v>3504000000</v>
      </c>
      <c r="F497" s="940">
        <v>3903473585000</v>
      </c>
      <c r="G497" s="945">
        <f t="shared" si="11"/>
        <v>8.976620242711339E-2</v>
      </c>
      <c r="H497" s="941"/>
      <c r="I497" s="941"/>
      <c r="J497" s="941"/>
      <c r="K497" s="941"/>
      <c r="L497" s="941"/>
      <c r="M497" s="941"/>
      <c r="N497" s="941"/>
      <c r="O497" s="941"/>
      <c r="P497" s="984"/>
    </row>
    <row r="498" spans="3:16" s="942" customFormat="1" ht="32.25" customHeight="1" x14ac:dyDescent="0.25">
      <c r="C498" s="985"/>
      <c r="D498" s="928" t="s">
        <v>240</v>
      </c>
      <c r="E498" s="946">
        <v>75000000</v>
      </c>
      <c r="F498" s="940">
        <v>3903473585000</v>
      </c>
      <c r="G498" s="945">
        <f t="shared" si="11"/>
        <v>1.9213656341419815E-3</v>
      </c>
      <c r="H498" s="941"/>
      <c r="I498" s="941"/>
      <c r="J498" s="941"/>
      <c r="K498" s="941"/>
      <c r="L498" s="941"/>
      <c r="M498" s="941"/>
      <c r="N498" s="941"/>
      <c r="O498" s="941"/>
      <c r="P498" s="984"/>
    </row>
    <row r="499" spans="3:16" s="942" customFormat="1" ht="19.5" customHeight="1" x14ac:dyDescent="0.25">
      <c r="C499" s="985"/>
      <c r="D499" s="929" t="s">
        <v>252</v>
      </c>
      <c r="E499" s="947">
        <v>75000000</v>
      </c>
      <c r="F499" s="940">
        <v>3903473585000</v>
      </c>
      <c r="G499" s="945">
        <f t="shared" si="11"/>
        <v>1.9213656341419815E-3</v>
      </c>
      <c r="H499" s="941"/>
      <c r="I499" s="941"/>
      <c r="J499" s="941"/>
      <c r="K499" s="941"/>
      <c r="L499" s="941"/>
      <c r="M499" s="941"/>
      <c r="N499" s="941"/>
      <c r="O499" s="941"/>
      <c r="P499" s="984"/>
    </row>
    <row r="500" spans="3:16" s="942" customFormat="1" ht="19.5" customHeight="1" x14ac:dyDescent="0.25">
      <c r="C500" s="985"/>
      <c r="D500" s="933" t="s">
        <v>4317</v>
      </c>
      <c r="E500" s="946">
        <v>8383500000</v>
      </c>
      <c r="F500" s="940">
        <v>3903473585000</v>
      </c>
      <c r="G500" s="945">
        <f t="shared" si="11"/>
        <v>0.21477025058439073</v>
      </c>
      <c r="H500" s="941"/>
      <c r="I500" s="941"/>
      <c r="J500" s="941"/>
      <c r="K500" s="941"/>
      <c r="L500" s="941"/>
      <c r="M500" s="941"/>
      <c r="N500" s="941"/>
      <c r="O500" s="941"/>
      <c r="P500" s="984"/>
    </row>
    <row r="501" spans="3:16" s="942" customFormat="1" ht="19.5" customHeight="1" x14ac:dyDescent="0.25">
      <c r="C501" s="985"/>
      <c r="D501" s="929" t="s">
        <v>4318</v>
      </c>
      <c r="E501" s="947">
        <v>8383500000</v>
      </c>
      <c r="F501" s="940">
        <v>3903473585000</v>
      </c>
      <c r="G501" s="945">
        <f t="shared" si="11"/>
        <v>0.21477025058439073</v>
      </c>
      <c r="H501" s="941"/>
      <c r="I501" s="941"/>
      <c r="J501" s="941"/>
      <c r="K501" s="941"/>
      <c r="L501" s="941"/>
      <c r="M501" s="941"/>
      <c r="N501" s="941"/>
      <c r="O501" s="941"/>
      <c r="P501" s="984"/>
    </row>
    <row r="502" spans="3:16" s="942" customFormat="1" ht="19.5" customHeight="1" x14ac:dyDescent="0.25">
      <c r="C502" s="985"/>
      <c r="D502" s="933" t="s">
        <v>221</v>
      </c>
      <c r="E502" s="946">
        <v>13314478000</v>
      </c>
      <c r="F502" s="940">
        <v>3903473585000</v>
      </c>
      <c r="G502" s="945">
        <f t="shared" ref="G502:G565" si="12">+E502/F502*100</f>
        <v>0.34109307287652618</v>
      </c>
      <c r="H502" s="941"/>
      <c r="I502" s="941"/>
      <c r="J502" s="941"/>
      <c r="K502" s="941"/>
      <c r="L502" s="941"/>
      <c r="M502" s="941"/>
      <c r="N502" s="941"/>
      <c r="O502" s="941"/>
      <c r="P502" s="984"/>
    </row>
    <row r="503" spans="3:16" s="942" customFormat="1" ht="19.5" customHeight="1" x14ac:dyDescent="0.25">
      <c r="C503" s="985"/>
      <c r="D503" s="929" t="s">
        <v>253</v>
      </c>
      <c r="E503" s="947">
        <v>1973450000</v>
      </c>
      <c r="F503" s="940">
        <v>3903473585000</v>
      </c>
      <c r="G503" s="945">
        <f t="shared" si="12"/>
        <v>5.0556253475966588E-2</v>
      </c>
      <c r="H503" s="941"/>
      <c r="I503" s="941"/>
      <c r="J503" s="941"/>
      <c r="K503" s="941"/>
      <c r="L503" s="941"/>
      <c r="M503" s="941"/>
      <c r="N503" s="941"/>
      <c r="O503" s="941"/>
      <c r="P503" s="984"/>
    </row>
    <row r="504" spans="3:16" s="942" customFormat="1" ht="19.5" customHeight="1" x14ac:dyDescent="0.25">
      <c r="C504" s="985"/>
      <c r="D504" s="929" t="s">
        <v>254</v>
      </c>
      <c r="E504" s="947">
        <v>4584300000</v>
      </c>
      <c r="F504" s="940">
        <v>3903473585000</v>
      </c>
      <c r="G504" s="945">
        <f t="shared" si="12"/>
        <v>0.1174415530212945</v>
      </c>
      <c r="H504" s="941"/>
      <c r="I504" s="941"/>
      <c r="J504" s="941"/>
      <c r="K504" s="941"/>
      <c r="L504" s="941"/>
      <c r="M504" s="941"/>
      <c r="N504" s="941"/>
      <c r="O504" s="941"/>
      <c r="P504" s="984"/>
    </row>
    <row r="505" spans="3:16" s="942" customFormat="1" ht="19.5" customHeight="1" x14ac:dyDescent="0.25">
      <c r="C505" s="985"/>
      <c r="D505" s="929" t="s">
        <v>255</v>
      </c>
      <c r="E505" s="947">
        <v>269200000</v>
      </c>
      <c r="F505" s="940">
        <v>3903473585000</v>
      </c>
      <c r="G505" s="945">
        <f t="shared" si="12"/>
        <v>6.896421716146954E-3</v>
      </c>
      <c r="H505" s="941"/>
      <c r="I505" s="941"/>
      <c r="J505" s="941"/>
      <c r="K505" s="941"/>
      <c r="L505" s="941"/>
      <c r="M505" s="941"/>
      <c r="N505" s="941"/>
      <c r="O505" s="941"/>
      <c r="P505" s="984"/>
    </row>
    <row r="506" spans="3:16" s="942" customFormat="1" ht="19.5" customHeight="1" x14ac:dyDescent="0.25">
      <c r="C506" s="985"/>
      <c r="D506" s="929" t="s">
        <v>256</v>
      </c>
      <c r="E506" s="947">
        <v>1361656000</v>
      </c>
      <c r="F506" s="940">
        <v>3903473585000</v>
      </c>
      <c r="G506" s="945">
        <f t="shared" si="12"/>
        <v>3.4883187252309787E-2</v>
      </c>
      <c r="H506" s="941"/>
      <c r="I506" s="941"/>
      <c r="J506" s="941"/>
      <c r="K506" s="941"/>
      <c r="L506" s="941"/>
      <c r="M506" s="941"/>
      <c r="N506" s="941"/>
      <c r="O506" s="941"/>
      <c r="P506" s="984"/>
    </row>
    <row r="507" spans="3:16" s="942" customFormat="1" ht="19.5" customHeight="1" x14ac:dyDescent="0.25">
      <c r="C507" s="985"/>
      <c r="D507" s="929" t="s">
        <v>257</v>
      </c>
      <c r="E507" s="947">
        <v>5125872000</v>
      </c>
      <c r="F507" s="940">
        <v>3903473585000</v>
      </c>
      <c r="G507" s="945">
        <f t="shared" si="12"/>
        <v>0.13131565741080839</v>
      </c>
      <c r="H507" s="941"/>
      <c r="I507" s="941"/>
      <c r="J507" s="941"/>
      <c r="K507" s="941"/>
      <c r="L507" s="941"/>
      <c r="M507" s="941"/>
      <c r="N507" s="941"/>
      <c r="O507" s="941"/>
      <c r="P507" s="984"/>
    </row>
    <row r="508" spans="3:16" s="942" customFormat="1" ht="19.5" customHeight="1" x14ac:dyDescent="0.25">
      <c r="C508" s="985"/>
      <c r="D508" s="967"/>
      <c r="E508" s="875"/>
      <c r="F508" s="940">
        <v>3903473585000</v>
      </c>
      <c r="G508" s="945">
        <f t="shared" si="12"/>
        <v>0</v>
      </c>
      <c r="H508" s="941"/>
      <c r="I508" s="941"/>
      <c r="J508" s="941"/>
      <c r="K508" s="941"/>
      <c r="L508" s="941"/>
      <c r="M508" s="941"/>
      <c r="N508" s="941"/>
      <c r="O508" s="941"/>
      <c r="P508" s="984"/>
    </row>
    <row r="509" spans="3:16" s="942" customFormat="1" ht="19.5" customHeight="1" x14ac:dyDescent="0.25">
      <c r="C509" s="985"/>
      <c r="D509" s="933" t="s">
        <v>4424</v>
      </c>
      <c r="E509" s="948">
        <f>+E510</f>
        <v>10000000000</v>
      </c>
      <c r="F509" s="940">
        <v>3903473585000</v>
      </c>
      <c r="G509" s="945">
        <f t="shared" si="12"/>
        <v>0.25618208455226421</v>
      </c>
      <c r="H509" s="941"/>
      <c r="I509" s="941"/>
      <c r="J509" s="941"/>
      <c r="K509" s="941"/>
      <c r="L509" s="941"/>
      <c r="M509" s="941"/>
      <c r="N509" s="941"/>
      <c r="O509" s="941"/>
      <c r="P509" s="984"/>
    </row>
    <row r="510" spans="3:16" s="942" customFormat="1" ht="19.5" customHeight="1" x14ac:dyDescent="0.25">
      <c r="C510" s="985"/>
      <c r="D510" s="933" t="s">
        <v>4425</v>
      </c>
      <c r="E510" s="946">
        <v>10000000000</v>
      </c>
      <c r="F510" s="940">
        <v>3903473585000</v>
      </c>
      <c r="G510" s="945">
        <f t="shared" si="12"/>
        <v>0.25618208455226421</v>
      </c>
      <c r="H510" s="941"/>
      <c r="I510" s="941"/>
      <c r="J510" s="941"/>
      <c r="K510" s="941"/>
      <c r="L510" s="941"/>
      <c r="M510" s="941"/>
      <c r="N510" s="941"/>
      <c r="O510" s="941"/>
      <c r="P510" s="984"/>
    </row>
    <row r="511" spans="3:16" s="942" customFormat="1" ht="19.5" customHeight="1" x14ac:dyDescent="0.25">
      <c r="C511" s="985"/>
      <c r="D511" s="929" t="s">
        <v>4426</v>
      </c>
      <c r="E511" s="947">
        <v>10000000000</v>
      </c>
      <c r="F511" s="940">
        <v>3903473585000</v>
      </c>
      <c r="G511" s="945">
        <f t="shared" si="12"/>
        <v>0.25618208455226421</v>
      </c>
      <c r="H511" s="941"/>
      <c r="I511" s="941"/>
      <c r="J511" s="941"/>
      <c r="K511" s="941"/>
      <c r="L511" s="941"/>
      <c r="M511" s="941"/>
      <c r="N511" s="941"/>
      <c r="O511" s="941"/>
      <c r="P511" s="984"/>
    </row>
    <row r="512" spans="3:16" s="942" customFormat="1" ht="19.5" customHeight="1" x14ac:dyDescent="0.25">
      <c r="C512" s="985"/>
      <c r="D512" s="967"/>
      <c r="E512" s="875"/>
      <c r="F512" s="940">
        <v>3903473585000</v>
      </c>
      <c r="G512" s="945">
        <f t="shared" si="12"/>
        <v>0</v>
      </c>
      <c r="H512" s="941"/>
      <c r="I512" s="941"/>
      <c r="J512" s="941"/>
      <c r="K512" s="941"/>
      <c r="L512" s="941"/>
      <c r="M512" s="941"/>
      <c r="N512" s="941"/>
      <c r="O512" s="941"/>
      <c r="P512" s="984"/>
    </row>
    <row r="513" spans="3:16" s="942" customFormat="1" ht="19.5" customHeight="1" x14ac:dyDescent="0.25">
      <c r="C513" s="985"/>
      <c r="D513" s="968" t="s">
        <v>258</v>
      </c>
      <c r="E513" s="873">
        <f>+E514</f>
        <v>1000000000</v>
      </c>
      <c r="F513" s="940">
        <v>3903473585000</v>
      </c>
      <c r="G513" s="945">
        <f t="shared" si="12"/>
        <v>2.5618208455226426E-2</v>
      </c>
      <c r="H513" s="941"/>
      <c r="I513" s="941"/>
      <c r="J513" s="941"/>
      <c r="K513" s="941"/>
      <c r="L513" s="941"/>
      <c r="M513" s="941"/>
      <c r="N513" s="941"/>
      <c r="O513" s="941"/>
      <c r="P513" s="984"/>
    </row>
    <row r="514" spans="3:16" s="942" customFormat="1" ht="19.5" customHeight="1" x14ac:dyDescent="0.25">
      <c r="C514" s="985"/>
      <c r="D514" s="968" t="s">
        <v>266</v>
      </c>
      <c r="E514" s="873">
        <v>1000000000</v>
      </c>
      <c r="F514" s="940">
        <v>3903473585000</v>
      </c>
      <c r="G514" s="945">
        <f t="shared" si="12"/>
        <v>2.5618208455226426E-2</v>
      </c>
      <c r="H514" s="941"/>
      <c r="I514" s="941"/>
      <c r="J514" s="941"/>
      <c r="K514" s="941"/>
      <c r="L514" s="941"/>
      <c r="M514" s="941"/>
      <c r="N514" s="941"/>
      <c r="O514" s="941"/>
      <c r="P514" s="984"/>
    </row>
    <row r="515" spans="3:16" s="942" customFormat="1" ht="19.5" customHeight="1" x14ac:dyDescent="0.25">
      <c r="C515" s="985"/>
      <c r="D515" s="950" t="s">
        <v>4427</v>
      </c>
      <c r="E515" s="874">
        <v>1000000000</v>
      </c>
      <c r="F515" s="940">
        <v>3903473585000</v>
      </c>
      <c r="G515" s="945">
        <f t="shared" si="12"/>
        <v>2.5618208455226426E-2</v>
      </c>
      <c r="H515" s="941"/>
      <c r="I515" s="941"/>
      <c r="J515" s="941"/>
      <c r="K515" s="941"/>
      <c r="L515" s="941"/>
      <c r="M515" s="941"/>
      <c r="N515" s="941"/>
      <c r="O515" s="941"/>
      <c r="P515" s="984"/>
    </row>
    <row r="516" spans="3:16" s="942" customFormat="1" ht="19.5" customHeight="1" x14ac:dyDescent="0.25">
      <c r="C516" s="985"/>
      <c r="D516" s="967"/>
      <c r="E516" s="875"/>
      <c r="F516" s="940">
        <v>3903473585000</v>
      </c>
      <c r="G516" s="945">
        <f t="shared" si="12"/>
        <v>0</v>
      </c>
      <c r="H516" s="941"/>
      <c r="I516" s="941"/>
      <c r="J516" s="941"/>
      <c r="K516" s="941"/>
      <c r="L516" s="941"/>
      <c r="M516" s="941"/>
      <c r="N516" s="941"/>
      <c r="O516" s="941"/>
      <c r="P516" s="984"/>
    </row>
    <row r="517" spans="3:16" s="942" customFormat="1" ht="19.5" customHeight="1" x14ac:dyDescent="0.25">
      <c r="C517" s="985"/>
      <c r="D517" s="968" t="s">
        <v>348</v>
      </c>
      <c r="E517" s="871">
        <f>+E518+E520+E523</f>
        <v>6328812000</v>
      </c>
      <c r="F517" s="940">
        <v>3903473585000</v>
      </c>
      <c r="G517" s="945">
        <f t="shared" si="12"/>
        <v>0.16213282508993845</v>
      </c>
      <c r="H517" s="941"/>
      <c r="I517" s="941"/>
      <c r="J517" s="941"/>
      <c r="K517" s="941"/>
      <c r="L517" s="941"/>
      <c r="M517" s="941"/>
      <c r="N517" s="941"/>
      <c r="O517" s="941"/>
      <c r="P517" s="984"/>
    </row>
    <row r="518" spans="3:16" s="942" customFormat="1" ht="19.5" customHeight="1" x14ac:dyDescent="0.25">
      <c r="C518" s="985"/>
      <c r="D518" s="933" t="s">
        <v>349</v>
      </c>
      <c r="E518" s="946">
        <v>840050000</v>
      </c>
      <c r="F518" s="940">
        <v>3903473585000</v>
      </c>
      <c r="G518" s="945">
        <f t="shared" si="12"/>
        <v>2.1520576012812959E-2</v>
      </c>
      <c r="H518" s="941"/>
      <c r="I518" s="941"/>
      <c r="J518" s="941"/>
      <c r="K518" s="941"/>
      <c r="L518" s="941"/>
      <c r="M518" s="941"/>
      <c r="N518" s="941"/>
      <c r="O518" s="941"/>
      <c r="P518" s="984"/>
    </row>
    <row r="519" spans="3:16" s="942" customFormat="1" ht="19.5" customHeight="1" x14ac:dyDescent="0.25">
      <c r="C519" s="985"/>
      <c r="D519" s="929" t="s">
        <v>4139</v>
      </c>
      <c r="E519" s="947">
        <v>840050000</v>
      </c>
      <c r="F519" s="940">
        <v>3903473585000</v>
      </c>
      <c r="G519" s="945">
        <f t="shared" si="12"/>
        <v>2.1520576012812959E-2</v>
      </c>
      <c r="H519" s="941"/>
      <c r="I519" s="941"/>
      <c r="J519" s="941"/>
      <c r="K519" s="941"/>
      <c r="L519" s="941"/>
      <c r="M519" s="941"/>
      <c r="N519" s="941"/>
      <c r="O519" s="941"/>
      <c r="P519" s="984"/>
    </row>
    <row r="520" spans="3:16" s="942" customFormat="1" ht="19.5" customHeight="1" x14ac:dyDescent="0.25">
      <c r="C520" s="985"/>
      <c r="D520" s="933" t="s">
        <v>4144</v>
      </c>
      <c r="E520" s="946">
        <v>5057008000</v>
      </c>
      <c r="F520" s="940">
        <v>3903473585000</v>
      </c>
      <c r="G520" s="945">
        <f t="shared" si="12"/>
        <v>0.12955148510374767</v>
      </c>
      <c r="H520" s="941"/>
      <c r="I520" s="941"/>
      <c r="J520" s="941"/>
      <c r="K520" s="941"/>
      <c r="L520" s="941"/>
      <c r="M520" s="941"/>
      <c r="N520" s="941"/>
      <c r="O520" s="941"/>
      <c r="P520" s="984"/>
    </row>
    <row r="521" spans="3:16" s="942" customFormat="1" ht="19.5" customHeight="1" x14ac:dyDescent="0.25">
      <c r="C521" s="985"/>
      <c r="D521" s="929" t="s">
        <v>4428</v>
      </c>
      <c r="E521" s="947">
        <v>2853808650</v>
      </c>
      <c r="F521" s="940">
        <v>3903473585000</v>
      </c>
      <c r="G521" s="945">
        <f t="shared" si="12"/>
        <v>7.3109464887028311E-2</v>
      </c>
      <c r="H521" s="941"/>
      <c r="I521" s="941"/>
      <c r="J521" s="941"/>
      <c r="K521" s="941"/>
      <c r="L521" s="941"/>
      <c r="M521" s="941"/>
      <c r="N521" s="941"/>
      <c r="O521" s="941"/>
      <c r="P521" s="984"/>
    </row>
    <row r="522" spans="3:16" s="942" customFormat="1" ht="19.5" customHeight="1" x14ac:dyDescent="0.25">
      <c r="C522" s="985"/>
      <c r="D522" s="929" t="s">
        <v>4429</v>
      </c>
      <c r="E522" s="947">
        <v>2203199350</v>
      </c>
      <c r="F522" s="940">
        <v>3903473585000</v>
      </c>
      <c r="G522" s="945">
        <f t="shared" si="12"/>
        <v>5.644202021671936E-2</v>
      </c>
      <c r="H522" s="941"/>
      <c r="I522" s="941"/>
      <c r="J522" s="941"/>
      <c r="K522" s="941"/>
      <c r="L522" s="941"/>
      <c r="M522" s="941"/>
      <c r="N522" s="941"/>
      <c r="O522" s="941"/>
      <c r="P522" s="984"/>
    </row>
    <row r="523" spans="3:16" s="942" customFormat="1" ht="19.5" customHeight="1" x14ac:dyDescent="0.25">
      <c r="C523" s="985"/>
      <c r="D523" s="933" t="s">
        <v>4430</v>
      </c>
      <c r="E523" s="946">
        <v>431754000</v>
      </c>
      <c r="F523" s="940">
        <v>3903473585000</v>
      </c>
      <c r="G523" s="945">
        <f t="shared" si="12"/>
        <v>1.1060763973377829E-2</v>
      </c>
      <c r="H523" s="941"/>
      <c r="I523" s="941"/>
      <c r="J523" s="941"/>
      <c r="K523" s="941"/>
      <c r="L523" s="941"/>
      <c r="M523" s="941"/>
      <c r="N523" s="941"/>
      <c r="O523" s="941"/>
      <c r="P523" s="984"/>
    </row>
    <row r="524" spans="3:16" s="942" customFormat="1" ht="19.5" customHeight="1" x14ac:dyDescent="0.25">
      <c r="C524" s="985"/>
      <c r="D524" s="950" t="s">
        <v>4431</v>
      </c>
      <c r="E524" s="874">
        <v>431754000</v>
      </c>
      <c r="F524" s="940">
        <v>3903473585000</v>
      </c>
      <c r="G524" s="945">
        <f t="shared" si="12"/>
        <v>1.1060763973377829E-2</v>
      </c>
      <c r="H524" s="941"/>
      <c r="I524" s="941"/>
      <c r="J524" s="941"/>
      <c r="K524" s="941"/>
      <c r="L524" s="941"/>
      <c r="M524" s="941"/>
      <c r="N524" s="941"/>
      <c r="O524" s="941"/>
      <c r="P524" s="984"/>
    </row>
    <row r="525" spans="3:16" s="942" customFormat="1" ht="19.5" customHeight="1" x14ac:dyDescent="0.25">
      <c r="C525" s="985"/>
      <c r="D525" s="950"/>
      <c r="E525" s="874"/>
      <c r="F525" s="940">
        <v>3903473585000</v>
      </c>
      <c r="G525" s="945">
        <f t="shared" si="12"/>
        <v>0</v>
      </c>
      <c r="H525" s="941"/>
      <c r="I525" s="941"/>
      <c r="J525" s="941"/>
      <c r="K525" s="941"/>
      <c r="L525" s="941"/>
      <c r="M525" s="941"/>
      <c r="N525" s="941"/>
      <c r="O525" s="941"/>
      <c r="P525" s="984"/>
    </row>
    <row r="526" spans="3:16" s="942" customFormat="1" ht="19.5" customHeight="1" x14ac:dyDescent="0.25">
      <c r="C526" s="985"/>
      <c r="D526" s="968" t="s">
        <v>363</v>
      </c>
      <c r="E526" s="871">
        <f>+E527+E530</f>
        <v>5000000000</v>
      </c>
      <c r="F526" s="940">
        <v>3903473585000</v>
      </c>
      <c r="G526" s="945">
        <f t="shared" si="12"/>
        <v>0.12809104227613211</v>
      </c>
      <c r="H526" s="941"/>
      <c r="I526" s="941"/>
      <c r="J526" s="941"/>
      <c r="K526" s="941"/>
      <c r="L526" s="941"/>
      <c r="M526" s="941"/>
      <c r="N526" s="941"/>
      <c r="O526" s="941"/>
      <c r="P526" s="984"/>
    </row>
    <row r="527" spans="3:16" s="942" customFormat="1" ht="27" customHeight="1" x14ac:dyDescent="0.25">
      <c r="C527" s="985"/>
      <c r="D527" s="969" t="s">
        <v>364</v>
      </c>
      <c r="E527" s="873">
        <v>4044735600</v>
      </c>
      <c r="F527" s="940">
        <v>3903473585000</v>
      </c>
      <c r="G527" s="945">
        <f t="shared" si="12"/>
        <v>0.10361887974707533</v>
      </c>
      <c r="H527" s="941"/>
      <c r="I527" s="941"/>
      <c r="J527" s="941"/>
      <c r="K527" s="941"/>
      <c r="L527" s="941"/>
      <c r="M527" s="941"/>
      <c r="N527" s="941"/>
      <c r="O527" s="941"/>
      <c r="P527" s="984"/>
    </row>
    <row r="528" spans="3:16" s="942" customFormat="1" ht="19.5" customHeight="1" x14ac:dyDescent="0.25">
      <c r="C528" s="985"/>
      <c r="D528" s="950" t="s">
        <v>4432</v>
      </c>
      <c r="E528" s="874">
        <v>1543558300</v>
      </c>
      <c r="F528" s="940">
        <v>3903473585000</v>
      </c>
      <c r="G528" s="945">
        <f t="shared" si="12"/>
        <v>3.9543198292194923E-2</v>
      </c>
      <c r="H528" s="941"/>
      <c r="I528" s="941"/>
      <c r="J528" s="941"/>
      <c r="K528" s="941"/>
      <c r="L528" s="941"/>
      <c r="M528" s="941"/>
      <c r="N528" s="941"/>
      <c r="O528" s="941"/>
      <c r="P528" s="984"/>
    </row>
    <row r="529" spans="3:16" s="942" customFormat="1" ht="30.75" customHeight="1" x14ac:dyDescent="0.25">
      <c r="C529" s="985"/>
      <c r="D529" s="950" t="s">
        <v>4433</v>
      </c>
      <c r="E529" s="874">
        <v>2501177300</v>
      </c>
      <c r="F529" s="940">
        <v>3903473585000</v>
      </c>
      <c r="G529" s="945">
        <f t="shared" si="12"/>
        <v>6.4075681454880393E-2</v>
      </c>
      <c r="H529" s="941"/>
      <c r="I529" s="941"/>
      <c r="J529" s="941"/>
      <c r="K529" s="941"/>
      <c r="L529" s="941"/>
      <c r="M529" s="941"/>
      <c r="N529" s="941"/>
      <c r="O529" s="941"/>
      <c r="P529" s="984"/>
    </row>
    <row r="530" spans="3:16" s="942" customFormat="1" ht="32.25" customHeight="1" x14ac:dyDescent="0.25">
      <c r="C530" s="985"/>
      <c r="D530" s="969" t="s">
        <v>367</v>
      </c>
      <c r="E530" s="873">
        <v>955264400</v>
      </c>
      <c r="F530" s="940">
        <v>3903473585000</v>
      </c>
      <c r="G530" s="945">
        <f t="shared" si="12"/>
        <v>2.4472162529056797E-2</v>
      </c>
      <c r="H530" s="941"/>
      <c r="I530" s="941"/>
      <c r="J530" s="941"/>
      <c r="K530" s="941"/>
      <c r="L530" s="941"/>
      <c r="M530" s="941"/>
      <c r="N530" s="941"/>
      <c r="O530" s="941"/>
      <c r="P530" s="984"/>
    </row>
    <row r="531" spans="3:16" s="942" customFormat="1" ht="19.5" customHeight="1" x14ac:dyDescent="0.25">
      <c r="C531" s="985"/>
      <c r="D531" s="950" t="s">
        <v>4434</v>
      </c>
      <c r="E531" s="874">
        <v>955264400</v>
      </c>
      <c r="F531" s="940">
        <v>3903473585000</v>
      </c>
      <c r="G531" s="945">
        <f t="shared" si="12"/>
        <v>2.4472162529056797E-2</v>
      </c>
      <c r="H531" s="941"/>
      <c r="I531" s="941"/>
      <c r="J531" s="941"/>
      <c r="K531" s="941"/>
      <c r="L531" s="941"/>
      <c r="M531" s="941"/>
      <c r="N531" s="941"/>
      <c r="O531" s="941"/>
      <c r="P531" s="984"/>
    </row>
    <row r="532" spans="3:16" s="942" customFormat="1" ht="19.5" customHeight="1" x14ac:dyDescent="0.25">
      <c r="C532" s="985"/>
      <c r="D532" s="950"/>
      <c r="E532" s="874"/>
      <c r="F532" s="940">
        <v>3903473585000</v>
      </c>
      <c r="G532" s="945">
        <f t="shared" si="12"/>
        <v>0</v>
      </c>
      <c r="H532" s="941"/>
      <c r="I532" s="941"/>
      <c r="J532" s="941"/>
      <c r="K532" s="941"/>
      <c r="L532" s="941"/>
      <c r="M532" s="941"/>
      <c r="N532" s="941"/>
      <c r="O532" s="941"/>
      <c r="P532" s="984"/>
    </row>
    <row r="533" spans="3:16" s="942" customFormat="1" ht="19.5" customHeight="1" x14ac:dyDescent="0.25">
      <c r="C533" s="985"/>
      <c r="D533" s="933" t="s">
        <v>392</v>
      </c>
      <c r="E533" s="948">
        <f>+E534+E537+E539+E543+E547+E550+E553+E557+E559+E561</f>
        <v>665934875510</v>
      </c>
      <c r="F533" s="940">
        <v>3903473585000</v>
      </c>
      <c r="G533" s="945">
        <f t="shared" si="12"/>
        <v>17.060058458420439</v>
      </c>
      <c r="H533" s="941"/>
      <c r="I533" s="941"/>
      <c r="J533" s="941"/>
      <c r="K533" s="941"/>
      <c r="L533" s="941"/>
      <c r="M533" s="941"/>
      <c r="N533" s="941"/>
      <c r="O533" s="941"/>
      <c r="P533" s="984"/>
    </row>
    <row r="534" spans="3:16" s="942" customFormat="1" ht="19.5" customHeight="1" x14ac:dyDescent="0.25">
      <c r="C534" s="985"/>
      <c r="D534" s="933" t="s">
        <v>4435</v>
      </c>
      <c r="E534" s="946">
        <v>1858900000</v>
      </c>
      <c r="F534" s="940">
        <v>3903473585000</v>
      </c>
      <c r="G534" s="945">
        <f t="shared" si="12"/>
        <v>4.7621687697420395E-2</v>
      </c>
      <c r="H534" s="941"/>
      <c r="I534" s="941"/>
      <c r="J534" s="941"/>
      <c r="K534" s="941"/>
      <c r="L534" s="941"/>
      <c r="M534" s="941"/>
      <c r="N534" s="941"/>
      <c r="O534" s="941"/>
      <c r="P534" s="984"/>
    </row>
    <row r="535" spans="3:16" s="942" customFormat="1" ht="19.5" customHeight="1" x14ac:dyDescent="0.25">
      <c r="C535" s="985"/>
      <c r="D535" s="929" t="s">
        <v>4436</v>
      </c>
      <c r="E535" s="947">
        <v>497750000</v>
      </c>
      <c r="F535" s="940">
        <v>3903473585000</v>
      </c>
      <c r="G535" s="945">
        <f t="shared" si="12"/>
        <v>1.2751463258588953E-2</v>
      </c>
      <c r="H535" s="941"/>
      <c r="I535" s="941"/>
      <c r="J535" s="941"/>
      <c r="K535" s="941"/>
      <c r="L535" s="941"/>
      <c r="M535" s="941"/>
      <c r="N535" s="941"/>
      <c r="O535" s="941"/>
      <c r="P535" s="984"/>
    </row>
    <row r="536" spans="3:16" s="942" customFormat="1" ht="19.5" customHeight="1" x14ac:dyDescent="0.25">
      <c r="C536" s="985"/>
      <c r="D536" s="929" t="s">
        <v>4437</v>
      </c>
      <c r="E536" s="947">
        <v>1361150000</v>
      </c>
      <c r="F536" s="940">
        <v>3903473585000</v>
      </c>
      <c r="G536" s="945">
        <f t="shared" si="12"/>
        <v>3.4870224438831449E-2</v>
      </c>
      <c r="H536" s="941"/>
      <c r="I536" s="941"/>
      <c r="J536" s="941"/>
      <c r="K536" s="941"/>
      <c r="L536" s="941"/>
      <c r="M536" s="941"/>
      <c r="N536" s="941"/>
      <c r="O536" s="941"/>
      <c r="P536" s="984"/>
    </row>
    <row r="537" spans="3:16" s="942" customFormat="1" ht="32.25" customHeight="1" x14ac:dyDescent="0.25">
      <c r="C537" s="985"/>
      <c r="D537" s="928" t="s">
        <v>4438</v>
      </c>
      <c r="E537" s="946">
        <v>491999000</v>
      </c>
      <c r="F537" s="940">
        <v>3903473585000</v>
      </c>
      <c r="G537" s="945">
        <f t="shared" si="12"/>
        <v>1.2604132941762946E-2</v>
      </c>
      <c r="H537" s="941"/>
      <c r="I537" s="941"/>
      <c r="J537" s="941"/>
      <c r="K537" s="941"/>
      <c r="L537" s="941"/>
      <c r="M537" s="941"/>
      <c r="N537" s="941"/>
      <c r="O537" s="941"/>
      <c r="P537" s="984"/>
    </row>
    <row r="538" spans="3:16" s="942" customFormat="1" ht="19.5" customHeight="1" x14ac:dyDescent="0.25">
      <c r="C538" s="985"/>
      <c r="D538" s="929" t="s">
        <v>4439</v>
      </c>
      <c r="E538" s="947">
        <v>491999000</v>
      </c>
      <c r="F538" s="940">
        <v>3903473585000</v>
      </c>
      <c r="G538" s="945">
        <f t="shared" si="12"/>
        <v>1.2604132941762946E-2</v>
      </c>
      <c r="H538" s="941"/>
      <c r="I538" s="941"/>
      <c r="J538" s="941"/>
      <c r="K538" s="941"/>
      <c r="L538" s="941"/>
      <c r="M538" s="941"/>
      <c r="N538" s="941"/>
      <c r="O538" s="941"/>
      <c r="P538" s="984"/>
    </row>
    <row r="539" spans="3:16" s="942" customFormat="1" ht="19.5" customHeight="1" x14ac:dyDescent="0.25">
      <c r="C539" s="985"/>
      <c r="D539" s="933" t="s">
        <v>4440</v>
      </c>
      <c r="E539" s="946">
        <v>4718131000</v>
      </c>
      <c r="F539" s="940">
        <v>3903473585000</v>
      </c>
      <c r="G539" s="945">
        <f t="shared" si="12"/>
        <v>0.1208700634770659</v>
      </c>
      <c r="H539" s="941"/>
      <c r="I539" s="941"/>
      <c r="J539" s="941"/>
      <c r="K539" s="941"/>
      <c r="L539" s="941"/>
      <c r="M539" s="941"/>
      <c r="N539" s="941"/>
      <c r="O539" s="941"/>
      <c r="P539" s="984"/>
    </row>
    <row r="540" spans="3:16" s="942" customFormat="1" ht="19.5" customHeight="1" x14ac:dyDescent="0.25">
      <c r="C540" s="985"/>
      <c r="D540" s="929" t="s">
        <v>4441</v>
      </c>
      <c r="E540" s="947">
        <v>1537250000</v>
      </c>
      <c r="F540" s="940">
        <v>3903473585000</v>
      </c>
      <c r="G540" s="945">
        <f t="shared" si="12"/>
        <v>3.9381590947796821E-2</v>
      </c>
      <c r="H540" s="941"/>
      <c r="I540" s="941"/>
      <c r="J540" s="941"/>
      <c r="K540" s="941"/>
      <c r="L540" s="941"/>
      <c r="M540" s="941"/>
      <c r="N540" s="941"/>
      <c r="O540" s="941"/>
      <c r="P540" s="984"/>
    </row>
    <row r="541" spans="3:16" s="942" customFormat="1" ht="19.5" customHeight="1" x14ac:dyDescent="0.25">
      <c r="C541" s="985"/>
      <c r="D541" s="929" t="s">
        <v>4442</v>
      </c>
      <c r="E541" s="947">
        <v>3180881000</v>
      </c>
      <c r="F541" s="940">
        <v>3903473585000</v>
      </c>
      <c r="G541" s="945">
        <f t="shared" si="12"/>
        <v>8.1488472529269079E-2</v>
      </c>
      <c r="H541" s="941"/>
      <c r="I541" s="941"/>
      <c r="J541" s="941"/>
      <c r="K541" s="941"/>
      <c r="L541" s="941"/>
      <c r="M541" s="941"/>
      <c r="N541" s="941"/>
      <c r="O541" s="941"/>
      <c r="P541" s="984"/>
    </row>
    <row r="542" spans="3:16" s="942" customFormat="1" ht="19.5" customHeight="1" x14ac:dyDescent="0.25">
      <c r="C542" s="985"/>
      <c r="D542" s="929" t="s">
        <v>4443</v>
      </c>
      <c r="E542" s="947">
        <v>0</v>
      </c>
      <c r="F542" s="940">
        <v>3903473585000</v>
      </c>
      <c r="G542" s="945">
        <f t="shared" si="12"/>
        <v>0</v>
      </c>
      <c r="H542" s="941"/>
      <c r="I542" s="941"/>
      <c r="J542" s="941"/>
      <c r="K542" s="941"/>
      <c r="L542" s="941"/>
      <c r="M542" s="941"/>
      <c r="N542" s="941"/>
      <c r="O542" s="941"/>
      <c r="P542" s="984"/>
    </row>
    <row r="543" spans="3:16" s="942" customFormat="1" ht="19.5" customHeight="1" x14ac:dyDescent="0.25">
      <c r="C543" s="985"/>
      <c r="D543" s="933" t="s">
        <v>393</v>
      </c>
      <c r="E543" s="946">
        <v>22676432000</v>
      </c>
      <c r="F543" s="940">
        <v>3903473585000</v>
      </c>
      <c r="G543" s="945">
        <f t="shared" si="12"/>
        <v>0.58092956199676704</v>
      </c>
      <c r="H543" s="941"/>
      <c r="I543" s="941"/>
      <c r="J543" s="941"/>
      <c r="K543" s="941"/>
      <c r="L543" s="941"/>
      <c r="M543" s="941"/>
      <c r="N543" s="941"/>
      <c r="O543" s="941"/>
      <c r="P543" s="984"/>
    </row>
    <row r="544" spans="3:16" s="942" customFormat="1" ht="19.5" customHeight="1" x14ac:dyDescent="0.25">
      <c r="C544" s="985"/>
      <c r="D544" s="929" t="s">
        <v>4444</v>
      </c>
      <c r="E544" s="947">
        <v>1410500000</v>
      </c>
      <c r="F544" s="940">
        <v>3903473585000</v>
      </c>
      <c r="G544" s="945">
        <f t="shared" si="12"/>
        <v>3.613448302609687E-2</v>
      </c>
      <c r="H544" s="941"/>
      <c r="I544" s="941"/>
      <c r="J544" s="941"/>
      <c r="K544" s="941"/>
      <c r="L544" s="941"/>
      <c r="M544" s="941"/>
      <c r="N544" s="941"/>
      <c r="O544" s="941"/>
      <c r="P544" s="984"/>
    </row>
    <row r="545" spans="3:16" s="942" customFormat="1" ht="19.5" customHeight="1" x14ac:dyDescent="0.25">
      <c r="C545" s="985"/>
      <c r="D545" s="929" t="s">
        <v>394</v>
      </c>
      <c r="E545" s="947">
        <v>14663682000</v>
      </c>
      <c r="F545" s="940">
        <v>3903473585000</v>
      </c>
      <c r="G545" s="945">
        <f t="shared" si="12"/>
        <v>0.37565726219715151</v>
      </c>
      <c r="H545" s="941"/>
      <c r="I545" s="941"/>
      <c r="J545" s="941"/>
      <c r="K545" s="941"/>
      <c r="L545" s="941"/>
      <c r="M545" s="941"/>
      <c r="N545" s="941"/>
      <c r="O545" s="941"/>
      <c r="P545" s="984"/>
    </row>
    <row r="546" spans="3:16" s="942" customFormat="1" ht="19.5" customHeight="1" x14ac:dyDescent="0.25">
      <c r="C546" s="985"/>
      <c r="D546" s="929" t="s">
        <v>4445</v>
      </c>
      <c r="E546" s="947">
        <v>6602250000</v>
      </c>
      <c r="F546" s="940">
        <v>3903473585000</v>
      </c>
      <c r="G546" s="945">
        <f t="shared" si="12"/>
        <v>0.16913781677351866</v>
      </c>
      <c r="H546" s="941"/>
      <c r="I546" s="941"/>
      <c r="J546" s="941"/>
      <c r="K546" s="941"/>
      <c r="L546" s="941"/>
      <c r="M546" s="941"/>
      <c r="N546" s="941"/>
      <c r="O546" s="941"/>
      <c r="P546" s="984"/>
    </row>
    <row r="547" spans="3:16" s="942" customFormat="1" ht="19.5" customHeight="1" x14ac:dyDescent="0.25">
      <c r="C547" s="985"/>
      <c r="D547" s="933" t="s">
        <v>4146</v>
      </c>
      <c r="E547" s="946">
        <v>298693270000</v>
      </c>
      <c r="F547" s="940">
        <v>3903473585000</v>
      </c>
      <c r="G547" s="945">
        <f t="shared" si="12"/>
        <v>7.6519864550332288</v>
      </c>
      <c r="H547" s="941"/>
      <c r="I547" s="941"/>
      <c r="J547" s="941"/>
      <c r="K547" s="941"/>
      <c r="L547" s="941"/>
      <c r="M547" s="941"/>
      <c r="N547" s="941"/>
      <c r="O547" s="941"/>
      <c r="P547" s="984"/>
    </row>
    <row r="548" spans="3:16" s="942" customFormat="1" ht="19.5" customHeight="1" x14ac:dyDescent="0.25">
      <c r="C548" s="985"/>
      <c r="D548" s="929" t="s">
        <v>4446</v>
      </c>
      <c r="E548" s="947">
        <v>266169270000</v>
      </c>
      <c r="F548" s="940">
        <v>3903473585000</v>
      </c>
      <c r="G548" s="945">
        <f t="shared" si="12"/>
        <v>6.8187798432354452</v>
      </c>
      <c r="H548" s="941"/>
      <c r="I548" s="941"/>
      <c r="J548" s="941"/>
      <c r="K548" s="941"/>
      <c r="L548" s="941"/>
      <c r="M548" s="941"/>
      <c r="N548" s="941"/>
      <c r="O548" s="941"/>
      <c r="P548" s="984"/>
    </row>
    <row r="549" spans="3:16" s="942" customFormat="1" ht="19.5" customHeight="1" x14ac:dyDescent="0.25">
      <c r="C549" s="985"/>
      <c r="D549" s="929" t="s">
        <v>4447</v>
      </c>
      <c r="E549" s="947">
        <v>32524000000</v>
      </c>
      <c r="F549" s="940">
        <v>3903473585000</v>
      </c>
      <c r="G549" s="945">
        <f t="shared" si="12"/>
        <v>0.83320661179778421</v>
      </c>
      <c r="H549" s="941"/>
      <c r="I549" s="941"/>
      <c r="J549" s="941"/>
      <c r="K549" s="941"/>
      <c r="L549" s="941"/>
      <c r="M549" s="941"/>
      <c r="N549" s="941"/>
      <c r="O549" s="941"/>
      <c r="P549" s="984"/>
    </row>
    <row r="550" spans="3:16" s="942" customFormat="1" ht="19.5" customHeight="1" x14ac:dyDescent="0.25">
      <c r="C550" s="985"/>
      <c r="D550" s="933" t="s">
        <v>4448</v>
      </c>
      <c r="E550" s="946">
        <v>145461702000</v>
      </c>
      <c r="F550" s="940">
        <v>3903473585000</v>
      </c>
      <c r="G550" s="945">
        <f t="shared" si="12"/>
        <v>3.7264682040880266</v>
      </c>
      <c r="H550" s="941"/>
      <c r="I550" s="941"/>
      <c r="J550" s="941"/>
      <c r="K550" s="941"/>
      <c r="L550" s="941"/>
      <c r="M550" s="941"/>
      <c r="N550" s="941"/>
      <c r="O550" s="941"/>
      <c r="P550" s="984"/>
    </row>
    <row r="551" spans="3:16" s="942" customFormat="1" ht="19.5" customHeight="1" x14ac:dyDescent="0.25">
      <c r="C551" s="985"/>
      <c r="D551" s="929" t="s">
        <v>4449</v>
      </c>
      <c r="E551" s="947">
        <v>100781700000</v>
      </c>
      <c r="F551" s="940">
        <v>3903473585000</v>
      </c>
      <c r="G551" s="945">
        <f t="shared" si="12"/>
        <v>2.5818465990720929</v>
      </c>
      <c r="H551" s="941"/>
      <c r="I551" s="941"/>
      <c r="J551" s="941"/>
      <c r="K551" s="941"/>
      <c r="L551" s="941"/>
      <c r="M551" s="941"/>
      <c r="N551" s="941"/>
      <c r="O551" s="941"/>
      <c r="P551" s="984"/>
    </row>
    <row r="552" spans="3:16" s="942" customFormat="1" ht="19.5" customHeight="1" x14ac:dyDescent="0.25">
      <c r="C552" s="985"/>
      <c r="D552" s="929" t="s">
        <v>4450</v>
      </c>
      <c r="E552" s="947">
        <v>44680002000</v>
      </c>
      <c r="F552" s="940">
        <v>3903473585000</v>
      </c>
      <c r="G552" s="945">
        <f t="shared" si="12"/>
        <v>1.1446216050159335</v>
      </c>
      <c r="H552" s="941"/>
      <c r="I552" s="941"/>
      <c r="J552" s="941"/>
      <c r="K552" s="941"/>
      <c r="L552" s="941"/>
      <c r="M552" s="941"/>
      <c r="N552" s="941"/>
      <c r="O552" s="941"/>
      <c r="P552" s="984"/>
    </row>
    <row r="553" spans="3:16" s="942" customFormat="1" ht="31.5" customHeight="1" x14ac:dyDescent="0.25">
      <c r="C553" s="985"/>
      <c r="D553" s="928" t="s">
        <v>4451</v>
      </c>
      <c r="E553" s="946">
        <v>20761207010</v>
      </c>
      <c r="F553" s="940">
        <v>3903473585000</v>
      </c>
      <c r="G553" s="945">
        <f t="shared" si="12"/>
        <v>0.53186492896428805</v>
      </c>
      <c r="H553" s="941"/>
      <c r="I553" s="941"/>
      <c r="J553" s="941"/>
      <c r="K553" s="941"/>
      <c r="L553" s="941"/>
      <c r="M553" s="941"/>
      <c r="N553" s="941"/>
      <c r="O553" s="941"/>
      <c r="P553" s="984"/>
    </row>
    <row r="554" spans="3:16" s="942" customFormat="1" ht="31.5" customHeight="1" x14ac:dyDescent="0.25">
      <c r="C554" s="985"/>
      <c r="D554" s="929" t="s">
        <v>4452</v>
      </c>
      <c r="E554" s="947">
        <v>8244750000</v>
      </c>
      <c r="F554" s="940">
        <v>3903473585000</v>
      </c>
      <c r="G554" s="945">
        <f t="shared" si="12"/>
        <v>0.21121572416122805</v>
      </c>
      <c r="H554" s="941"/>
      <c r="I554" s="941"/>
      <c r="J554" s="941"/>
      <c r="K554" s="941"/>
      <c r="L554" s="941"/>
      <c r="M554" s="941"/>
      <c r="N554" s="941"/>
      <c r="O554" s="941"/>
      <c r="P554" s="984"/>
    </row>
    <row r="555" spans="3:16" s="942" customFormat="1" ht="31.5" customHeight="1" x14ac:dyDescent="0.25">
      <c r="C555" s="985"/>
      <c r="D555" s="929" t="s">
        <v>4453</v>
      </c>
      <c r="E555" s="947">
        <v>5302978500</v>
      </c>
      <c r="F555" s="940">
        <v>3903473585000</v>
      </c>
      <c r="G555" s="945">
        <f t="shared" si="12"/>
        <v>0.13585280864658394</v>
      </c>
      <c r="H555" s="941"/>
      <c r="I555" s="941"/>
      <c r="J555" s="941"/>
      <c r="K555" s="941"/>
      <c r="L555" s="941"/>
      <c r="M555" s="941"/>
      <c r="N555" s="941"/>
      <c r="O555" s="941"/>
      <c r="P555" s="984"/>
    </row>
    <row r="556" spans="3:16" s="942" customFormat="1" ht="31.5" customHeight="1" x14ac:dyDescent="0.25">
      <c r="C556" s="985"/>
      <c r="D556" s="929" t="s">
        <v>4454</v>
      </c>
      <c r="E556" s="947">
        <v>7213478510</v>
      </c>
      <c r="F556" s="940">
        <v>3903473585000</v>
      </c>
      <c r="G556" s="945">
        <f t="shared" si="12"/>
        <v>0.18479639615647608</v>
      </c>
      <c r="H556" s="941"/>
      <c r="I556" s="941"/>
      <c r="J556" s="941"/>
      <c r="K556" s="941"/>
      <c r="L556" s="941"/>
      <c r="M556" s="941"/>
      <c r="N556" s="941"/>
      <c r="O556" s="941"/>
      <c r="P556" s="984"/>
    </row>
    <row r="557" spans="3:16" s="942" customFormat="1" ht="32.25" customHeight="1" x14ac:dyDescent="0.25">
      <c r="C557" s="985"/>
      <c r="D557" s="928" t="s">
        <v>4455</v>
      </c>
      <c r="E557" s="946">
        <v>1849000000</v>
      </c>
      <c r="F557" s="940">
        <v>3903473585000</v>
      </c>
      <c r="G557" s="945">
        <f t="shared" si="12"/>
        <v>4.7368067433713655E-2</v>
      </c>
      <c r="H557" s="941"/>
      <c r="I557" s="941"/>
      <c r="J557" s="941"/>
      <c r="K557" s="941"/>
      <c r="L557" s="941"/>
      <c r="M557" s="941"/>
      <c r="N557" s="941"/>
      <c r="O557" s="941"/>
      <c r="P557" s="984"/>
    </row>
    <row r="558" spans="3:16" s="942" customFormat="1" ht="31.5" customHeight="1" x14ac:dyDescent="0.25">
      <c r="C558" s="985"/>
      <c r="D558" s="929" t="s">
        <v>4456</v>
      </c>
      <c r="E558" s="947">
        <v>1849000000</v>
      </c>
      <c r="F558" s="940">
        <v>3903473585000</v>
      </c>
      <c r="G558" s="945">
        <f t="shared" si="12"/>
        <v>4.7368067433713655E-2</v>
      </c>
      <c r="H558" s="941"/>
      <c r="I558" s="941"/>
      <c r="J558" s="941"/>
      <c r="K558" s="941"/>
      <c r="L558" s="941"/>
      <c r="M558" s="941"/>
      <c r="N558" s="941"/>
      <c r="O558" s="941"/>
      <c r="P558" s="984"/>
    </row>
    <row r="559" spans="3:16" s="942" customFormat="1" ht="19.5" customHeight="1" x14ac:dyDescent="0.25">
      <c r="C559" s="985"/>
      <c r="D559" s="933" t="s">
        <v>4457</v>
      </c>
      <c r="E559" s="946">
        <v>39190445000</v>
      </c>
      <c r="F559" s="940">
        <v>3903473585000</v>
      </c>
      <c r="G559" s="945">
        <f t="shared" si="12"/>
        <v>1.003988989463086</v>
      </c>
      <c r="H559" s="941"/>
      <c r="I559" s="941"/>
      <c r="J559" s="941"/>
      <c r="K559" s="941"/>
      <c r="L559" s="941"/>
      <c r="M559" s="941"/>
      <c r="N559" s="941"/>
      <c r="O559" s="941"/>
      <c r="P559" s="984"/>
    </row>
    <row r="560" spans="3:16" s="942" customFormat="1" ht="31.5" customHeight="1" x14ac:dyDescent="0.25">
      <c r="C560" s="985"/>
      <c r="D560" s="929" t="s">
        <v>4458</v>
      </c>
      <c r="E560" s="947">
        <v>39190445000</v>
      </c>
      <c r="F560" s="940">
        <v>3903473585000</v>
      </c>
      <c r="G560" s="945">
        <f t="shared" si="12"/>
        <v>1.003988989463086</v>
      </c>
      <c r="H560" s="941"/>
      <c r="I560" s="941"/>
      <c r="J560" s="941"/>
      <c r="K560" s="941"/>
      <c r="L560" s="941"/>
      <c r="M560" s="941"/>
      <c r="N560" s="941"/>
      <c r="O560" s="941"/>
      <c r="P560" s="984"/>
    </row>
    <row r="561" spans="3:16" s="942" customFormat="1" ht="19.5" customHeight="1" x14ac:dyDescent="0.25">
      <c r="C561" s="985"/>
      <c r="D561" s="933" t="s">
        <v>4459</v>
      </c>
      <c r="E561" s="946">
        <v>130233789500</v>
      </c>
      <c r="F561" s="940">
        <v>3903473585000</v>
      </c>
      <c r="G561" s="945">
        <f t="shared" si="12"/>
        <v>3.3363563673250782</v>
      </c>
      <c r="H561" s="941"/>
      <c r="I561" s="941"/>
      <c r="J561" s="941"/>
      <c r="K561" s="941"/>
      <c r="L561" s="941"/>
      <c r="M561" s="941"/>
      <c r="N561" s="941"/>
      <c r="O561" s="941"/>
      <c r="P561" s="984"/>
    </row>
    <row r="562" spans="3:16" s="942" customFormat="1" ht="19.5" customHeight="1" x14ac:dyDescent="0.25">
      <c r="C562" s="985"/>
      <c r="D562" s="929" t="s">
        <v>4460</v>
      </c>
      <c r="E562" s="947">
        <v>4046850000</v>
      </c>
      <c r="F562" s="940">
        <v>3903473585000</v>
      </c>
      <c r="G562" s="945">
        <f t="shared" si="12"/>
        <v>0.10367304688703306</v>
      </c>
      <c r="H562" s="941"/>
      <c r="I562" s="941"/>
      <c r="J562" s="941"/>
      <c r="K562" s="941"/>
      <c r="L562" s="941"/>
      <c r="M562" s="941"/>
      <c r="N562" s="941"/>
      <c r="O562" s="941"/>
      <c r="P562" s="984"/>
    </row>
    <row r="563" spans="3:16" s="942" customFormat="1" ht="19.5" customHeight="1" x14ac:dyDescent="0.25">
      <c r="C563" s="985"/>
      <c r="D563" s="929" t="s">
        <v>4461</v>
      </c>
      <c r="E563" s="947">
        <v>3046850000</v>
      </c>
      <c r="F563" s="940">
        <v>3903473585000</v>
      </c>
      <c r="G563" s="945">
        <f t="shared" si="12"/>
        <v>7.805483843180662E-2</v>
      </c>
      <c r="H563" s="941"/>
      <c r="I563" s="941"/>
      <c r="J563" s="941"/>
      <c r="K563" s="941"/>
      <c r="L563" s="941"/>
      <c r="M563" s="941"/>
      <c r="N563" s="941"/>
      <c r="O563" s="941"/>
      <c r="P563" s="984"/>
    </row>
    <row r="564" spans="3:16" s="942" customFormat="1" ht="19.5" customHeight="1" x14ac:dyDescent="0.25">
      <c r="C564" s="985"/>
      <c r="D564" s="929" t="s">
        <v>4462</v>
      </c>
      <c r="E564" s="947">
        <v>13334676000</v>
      </c>
      <c r="F564" s="940">
        <v>3903473585000</v>
      </c>
      <c r="G564" s="945">
        <f t="shared" si="12"/>
        <v>0.34161050945090488</v>
      </c>
      <c r="H564" s="941"/>
      <c r="I564" s="941"/>
      <c r="J564" s="941"/>
      <c r="K564" s="941"/>
      <c r="L564" s="941"/>
      <c r="M564" s="941"/>
      <c r="N564" s="941"/>
      <c r="O564" s="941"/>
      <c r="P564" s="984"/>
    </row>
    <row r="565" spans="3:16" s="942" customFormat="1" ht="19.5" customHeight="1" x14ac:dyDescent="0.25">
      <c r="C565" s="985"/>
      <c r="D565" s="929" t="s">
        <v>4463</v>
      </c>
      <c r="E565" s="947">
        <v>12616826000</v>
      </c>
      <c r="F565" s="940">
        <v>3903473585000</v>
      </c>
      <c r="G565" s="945">
        <f t="shared" si="12"/>
        <v>0.32322047851132057</v>
      </c>
      <c r="H565" s="941"/>
      <c r="I565" s="941"/>
      <c r="J565" s="941"/>
      <c r="K565" s="941"/>
      <c r="L565" s="941"/>
      <c r="M565" s="941"/>
      <c r="N565" s="941"/>
      <c r="O565" s="941"/>
      <c r="P565" s="984"/>
    </row>
    <row r="566" spans="3:16" s="942" customFormat="1" ht="19.5" customHeight="1" x14ac:dyDescent="0.25">
      <c r="C566" s="985"/>
      <c r="D566" s="929" t="s">
        <v>4464</v>
      </c>
      <c r="E566" s="947">
        <v>0</v>
      </c>
      <c r="F566" s="940">
        <v>3903473585000</v>
      </c>
      <c r="G566" s="945">
        <f t="shared" ref="G566:G629" si="13">+E566/F566*100</f>
        <v>0</v>
      </c>
      <c r="H566" s="941"/>
      <c r="I566" s="941"/>
      <c r="J566" s="941"/>
      <c r="K566" s="941"/>
      <c r="L566" s="941"/>
      <c r="M566" s="941"/>
      <c r="N566" s="941"/>
      <c r="O566" s="941"/>
      <c r="P566" s="984"/>
    </row>
    <row r="567" spans="3:16" s="942" customFormat="1" ht="19.5" customHeight="1" x14ac:dyDescent="0.25">
      <c r="C567" s="985"/>
      <c r="D567" s="929" t="s">
        <v>4465</v>
      </c>
      <c r="E567" s="947">
        <v>0</v>
      </c>
      <c r="F567" s="940">
        <v>3903473585000</v>
      </c>
      <c r="G567" s="945">
        <f t="shared" si="13"/>
        <v>0</v>
      </c>
      <c r="H567" s="941"/>
      <c r="I567" s="941"/>
      <c r="J567" s="941"/>
      <c r="K567" s="941"/>
      <c r="L567" s="941"/>
      <c r="M567" s="941"/>
      <c r="N567" s="941"/>
      <c r="O567" s="941"/>
      <c r="P567" s="984"/>
    </row>
    <row r="568" spans="3:16" s="942" customFormat="1" ht="19.5" customHeight="1" x14ac:dyDescent="0.25">
      <c r="C568" s="985"/>
      <c r="D568" s="929" t="s">
        <v>4466</v>
      </c>
      <c r="E568" s="947">
        <v>14462250000</v>
      </c>
      <c r="F568" s="940">
        <v>3903473585000</v>
      </c>
      <c r="G568" s="945">
        <f t="shared" si="13"/>
        <v>0.37049693523159832</v>
      </c>
      <c r="H568" s="941"/>
      <c r="I568" s="941"/>
      <c r="J568" s="941"/>
      <c r="K568" s="941"/>
      <c r="L568" s="941"/>
      <c r="M568" s="941"/>
      <c r="N568" s="941"/>
      <c r="O568" s="941"/>
      <c r="P568" s="984"/>
    </row>
    <row r="569" spans="3:16" s="942" customFormat="1" ht="31.5" customHeight="1" x14ac:dyDescent="0.25">
      <c r="C569" s="985"/>
      <c r="D569" s="929" t="s">
        <v>4467</v>
      </c>
      <c r="E569" s="947">
        <v>79982837500</v>
      </c>
      <c r="F569" s="940">
        <v>3903473585000</v>
      </c>
      <c r="G569" s="945">
        <f t="shared" si="13"/>
        <v>2.0490170039155009</v>
      </c>
      <c r="H569" s="941"/>
      <c r="I569" s="941"/>
      <c r="J569" s="941"/>
      <c r="K569" s="941"/>
      <c r="L569" s="941"/>
      <c r="M569" s="941"/>
      <c r="N569" s="941"/>
      <c r="O569" s="941"/>
      <c r="P569" s="984"/>
    </row>
    <row r="570" spans="3:16" s="942" customFormat="1" ht="19.5" customHeight="1" x14ac:dyDescent="0.25">
      <c r="C570" s="985"/>
      <c r="D570" s="929" t="s">
        <v>4468</v>
      </c>
      <c r="E570" s="947">
        <v>2743500000</v>
      </c>
      <c r="F570" s="940">
        <v>3903473585000</v>
      </c>
      <c r="G570" s="945">
        <f t="shared" si="13"/>
        <v>7.0283554896913694E-2</v>
      </c>
      <c r="H570" s="941"/>
      <c r="I570" s="941"/>
      <c r="J570" s="941"/>
      <c r="K570" s="941"/>
      <c r="L570" s="941"/>
      <c r="M570" s="941"/>
      <c r="N570" s="941"/>
      <c r="O570" s="941"/>
      <c r="P570" s="984"/>
    </row>
    <row r="571" spans="3:16" s="942" customFormat="1" ht="19.5" customHeight="1" x14ac:dyDescent="0.25">
      <c r="C571" s="985"/>
      <c r="D571" s="928"/>
      <c r="E571" s="947"/>
      <c r="F571" s="940">
        <v>3903473585000</v>
      </c>
      <c r="G571" s="945">
        <f t="shared" si="13"/>
        <v>0</v>
      </c>
      <c r="H571" s="941"/>
      <c r="I571" s="941"/>
      <c r="J571" s="941"/>
      <c r="K571" s="941"/>
      <c r="L571" s="941"/>
      <c r="M571" s="941"/>
      <c r="N571" s="941"/>
      <c r="O571" s="941"/>
      <c r="P571" s="984"/>
    </row>
    <row r="572" spans="3:16" s="942" customFormat="1" ht="19.5" customHeight="1" x14ac:dyDescent="0.25">
      <c r="C572" s="985"/>
      <c r="D572" s="933" t="s">
        <v>415</v>
      </c>
      <c r="E572" s="948">
        <f>+E573+E575+E577+E580</f>
        <v>8000000000</v>
      </c>
      <c r="F572" s="940">
        <v>3903473585000</v>
      </c>
      <c r="G572" s="945">
        <f t="shared" si="13"/>
        <v>0.20494566764181141</v>
      </c>
      <c r="H572" s="941"/>
      <c r="I572" s="941"/>
      <c r="J572" s="941"/>
      <c r="K572" s="941"/>
      <c r="L572" s="941"/>
      <c r="M572" s="941"/>
      <c r="N572" s="941"/>
      <c r="O572" s="941"/>
      <c r="P572" s="984"/>
    </row>
    <row r="573" spans="3:16" s="942" customFormat="1" ht="19.5" customHeight="1" x14ac:dyDescent="0.25">
      <c r="C573" s="985"/>
      <c r="D573" s="933" t="s">
        <v>4343</v>
      </c>
      <c r="E573" s="946">
        <v>368800000</v>
      </c>
      <c r="F573" s="940">
        <v>3903473585000</v>
      </c>
      <c r="G573" s="945">
        <f t="shared" si="13"/>
        <v>9.4479952782875049E-3</v>
      </c>
      <c r="H573" s="941"/>
      <c r="I573" s="941"/>
      <c r="J573" s="941"/>
      <c r="K573" s="941"/>
      <c r="L573" s="941"/>
      <c r="M573" s="941"/>
      <c r="N573" s="941"/>
      <c r="O573" s="941"/>
      <c r="P573" s="984"/>
    </row>
    <row r="574" spans="3:16" s="942" customFormat="1" ht="19.5" customHeight="1" x14ac:dyDescent="0.25">
      <c r="C574" s="985"/>
      <c r="D574" s="929" t="s">
        <v>4469</v>
      </c>
      <c r="E574" s="947">
        <v>368800000</v>
      </c>
      <c r="F574" s="940">
        <v>3903473585000</v>
      </c>
      <c r="G574" s="945">
        <f t="shared" si="13"/>
        <v>9.4479952782875049E-3</v>
      </c>
      <c r="H574" s="941"/>
      <c r="I574" s="941"/>
      <c r="J574" s="941"/>
      <c r="K574" s="941"/>
      <c r="L574" s="941"/>
      <c r="M574" s="941"/>
      <c r="N574" s="941"/>
      <c r="O574" s="941"/>
      <c r="P574" s="984"/>
    </row>
    <row r="575" spans="3:16" s="942" customFormat="1" ht="19.5" customHeight="1" x14ac:dyDescent="0.25">
      <c r="C575" s="985"/>
      <c r="D575" s="933" t="s">
        <v>4470</v>
      </c>
      <c r="E575" s="946">
        <v>1006798000</v>
      </c>
      <c r="F575" s="940">
        <v>3903473585000</v>
      </c>
      <c r="G575" s="945">
        <f t="shared" si="13"/>
        <v>2.5792361036305052E-2</v>
      </c>
      <c r="H575" s="941"/>
      <c r="I575" s="941"/>
      <c r="J575" s="941"/>
      <c r="K575" s="941"/>
      <c r="L575" s="941"/>
      <c r="M575" s="941"/>
      <c r="N575" s="941"/>
      <c r="O575" s="941"/>
      <c r="P575" s="984"/>
    </row>
    <row r="576" spans="3:16" s="942" customFormat="1" ht="19.5" customHeight="1" x14ac:dyDescent="0.25">
      <c r="C576" s="985"/>
      <c r="D576" s="929" t="s">
        <v>4471</v>
      </c>
      <c r="E576" s="947">
        <v>1006798000</v>
      </c>
      <c r="F576" s="940">
        <v>3903473585000</v>
      </c>
      <c r="G576" s="945">
        <f t="shared" si="13"/>
        <v>2.5792361036305052E-2</v>
      </c>
      <c r="H576" s="941"/>
      <c r="I576" s="941"/>
      <c r="J576" s="941"/>
      <c r="K576" s="941"/>
      <c r="L576" s="941"/>
      <c r="M576" s="941"/>
      <c r="N576" s="941"/>
      <c r="O576" s="941"/>
      <c r="P576" s="984"/>
    </row>
    <row r="577" spans="3:16" s="942" customFormat="1" ht="27" customHeight="1" x14ac:dyDescent="0.25">
      <c r="C577" s="985"/>
      <c r="D577" s="928" t="s">
        <v>423</v>
      </c>
      <c r="E577" s="946">
        <v>6414402000</v>
      </c>
      <c r="F577" s="940">
        <v>3903473585000</v>
      </c>
      <c r="G577" s="945">
        <f t="shared" si="13"/>
        <v>0.16432548755162127</v>
      </c>
      <c r="H577" s="941"/>
      <c r="I577" s="941"/>
      <c r="J577" s="941"/>
      <c r="K577" s="941"/>
      <c r="L577" s="941"/>
      <c r="M577" s="941"/>
      <c r="N577" s="941"/>
      <c r="O577" s="941"/>
      <c r="P577" s="984"/>
    </row>
    <row r="578" spans="3:16" s="942" customFormat="1" ht="19.5" customHeight="1" x14ac:dyDescent="0.25">
      <c r="C578" s="985"/>
      <c r="D578" s="929" t="s">
        <v>4351</v>
      </c>
      <c r="E578" s="947">
        <v>45000000</v>
      </c>
      <c r="F578" s="940">
        <v>3903473585000</v>
      </c>
      <c r="G578" s="945">
        <f t="shared" si="13"/>
        <v>1.1528193804851892E-3</v>
      </c>
      <c r="H578" s="941"/>
      <c r="I578" s="941"/>
      <c r="J578" s="941"/>
      <c r="K578" s="941"/>
      <c r="L578" s="941"/>
      <c r="M578" s="941"/>
      <c r="N578" s="941"/>
      <c r="O578" s="941"/>
      <c r="P578" s="984"/>
    </row>
    <row r="579" spans="3:16" s="942" customFormat="1" ht="19.5" customHeight="1" x14ac:dyDescent="0.25">
      <c r="C579" s="985"/>
      <c r="D579" s="929" t="s">
        <v>4472</v>
      </c>
      <c r="E579" s="947">
        <v>6369402000</v>
      </c>
      <c r="F579" s="940">
        <v>3903473585000</v>
      </c>
      <c r="G579" s="945">
        <f t="shared" si="13"/>
        <v>0.1631726681711361</v>
      </c>
      <c r="H579" s="941"/>
      <c r="I579" s="941"/>
      <c r="J579" s="941"/>
      <c r="K579" s="941"/>
      <c r="L579" s="941"/>
      <c r="M579" s="941"/>
      <c r="N579" s="941"/>
      <c r="O579" s="941"/>
      <c r="P579" s="984"/>
    </row>
    <row r="580" spans="3:16" s="942" customFormat="1" ht="19.5" customHeight="1" x14ac:dyDescent="0.25">
      <c r="C580" s="985"/>
      <c r="D580" s="933" t="s">
        <v>425</v>
      </c>
      <c r="E580" s="946">
        <v>210000000</v>
      </c>
      <c r="F580" s="940">
        <v>3903473585000</v>
      </c>
      <c r="G580" s="945">
        <f t="shared" si="13"/>
        <v>5.3798237755975486E-3</v>
      </c>
      <c r="H580" s="941"/>
      <c r="I580" s="941"/>
      <c r="J580" s="941"/>
      <c r="K580" s="941"/>
      <c r="L580" s="941"/>
      <c r="M580" s="941"/>
      <c r="N580" s="941"/>
      <c r="O580" s="941"/>
      <c r="P580" s="984"/>
    </row>
    <row r="581" spans="3:16" s="942" customFormat="1" ht="19.5" customHeight="1" x14ac:dyDescent="0.25">
      <c r="C581" s="985"/>
      <c r="D581" s="929" t="s">
        <v>4473</v>
      </c>
      <c r="E581" s="947">
        <v>210000000</v>
      </c>
      <c r="F581" s="940">
        <v>3903473585000</v>
      </c>
      <c r="G581" s="945">
        <f t="shared" si="13"/>
        <v>5.3798237755975486E-3</v>
      </c>
      <c r="H581" s="941"/>
      <c r="I581" s="941"/>
      <c r="J581" s="941"/>
      <c r="K581" s="941"/>
      <c r="L581" s="941"/>
      <c r="M581" s="941"/>
      <c r="N581" s="941"/>
      <c r="O581" s="941"/>
      <c r="P581" s="984"/>
    </row>
    <row r="582" spans="3:16" s="942" customFormat="1" ht="19.5" customHeight="1" x14ac:dyDescent="0.25">
      <c r="C582" s="985"/>
      <c r="D582" s="929"/>
      <c r="E582" s="947"/>
      <c r="F582" s="940">
        <v>3903473585000</v>
      </c>
      <c r="G582" s="945">
        <f t="shared" si="13"/>
        <v>0</v>
      </c>
      <c r="H582" s="941"/>
      <c r="I582" s="941"/>
      <c r="J582" s="941"/>
      <c r="K582" s="941"/>
      <c r="L582" s="941"/>
      <c r="M582" s="941"/>
      <c r="N582" s="941"/>
      <c r="O582" s="941"/>
      <c r="P582" s="984"/>
    </row>
    <row r="583" spans="3:16" s="942" customFormat="1" ht="19.5" customHeight="1" x14ac:dyDescent="0.25">
      <c r="C583" s="985"/>
      <c r="D583" s="933" t="s">
        <v>429</v>
      </c>
      <c r="E583" s="948">
        <f>+E584+E590+E594+E598</f>
        <v>5000000000</v>
      </c>
      <c r="F583" s="940">
        <v>3903473585000</v>
      </c>
      <c r="G583" s="945">
        <f t="shared" si="13"/>
        <v>0.12809104227613211</v>
      </c>
      <c r="H583" s="941"/>
      <c r="I583" s="941"/>
      <c r="J583" s="941"/>
      <c r="K583" s="941"/>
      <c r="L583" s="941"/>
      <c r="M583" s="941"/>
      <c r="N583" s="941"/>
      <c r="O583" s="941"/>
      <c r="P583" s="984"/>
    </row>
    <row r="584" spans="3:16" s="942" customFormat="1" ht="19.5" customHeight="1" x14ac:dyDescent="0.25">
      <c r="C584" s="985"/>
      <c r="D584" s="933" t="s">
        <v>430</v>
      </c>
      <c r="E584" s="946">
        <v>1529039900</v>
      </c>
      <c r="F584" s="940">
        <v>3903473585000</v>
      </c>
      <c r="G584" s="945">
        <f t="shared" si="13"/>
        <v>3.9171262894558564E-2</v>
      </c>
      <c r="H584" s="941"/>
      <c r="I584" s="941"/>
      <c r="J584" s="941"/>
      <c r="K584" s="941"/>
      <c r="L584" s="941"/>
      <c r="M584" s="941"/>
      <c r="N584" s="941"/>
      <c r="O584" s="941"/>
      <c r="P584" s="984"/>
    </row>
    <row r="585" spans="3:16" s="942" customFormat="1" ht="19.5" customHeight="1" x14ac:dyDescent="0.25">
      <c r="C585" s="985"/>
      <c r="D585" s="929" t="s">
        <v>432</v>
      </c>
      <c r="E585" s="947">
        <v>400000000</v>
      </c>
      <c r="F585" s="940">
        <v>3903473585000</v>
      </c>
      <c r="G585" s="945">
        <f t="shared" si="13"/>
        <v>1.0247283382090569E-2</v>
      </c>
      <c r="H585" s="941"/>
      <c r="I585" s="941"/>
      <c r="J585" s="941"/>
      <c r="K585" s="941"/>
      <c r="L585" s="941"/>
      <c r="M585" s="941"/>
      <c r="N585" s="941"/>
      <c r="O585" s="941"/>
      <c r="P585" s="984"/>
    </row>
    <row r="586" spans="3:16" s="942" customFormat="1" ht="19.5" customHeight="1" x14ac:dyDescent="0.25">
      <c r="C586" s="985"/>
      <c r="D586" s="929" t="s">
        <v>4474</v>
      </c>
      <c r="E586" s="947">
        <v>400000000</v>
      </c>
      <c r="F586" s="940">
        <v>3903473585000</v>
      </c>
      <c r="G586" s="945">
        <f t="shared" si="13"/>
        <v>1.0247283382090569E-2</v>
      </c>
      <c r="H586" s="941"/>
      <c r="I586" s="941"/>
      <c r="J586" s="941"/>
      <c r="K586" s="941"/>
      <c r="L586" s="941"/>
      <c r="M586" s="941"/>
      <c r="N586" s="941"/>
      <c r="O586" s="941"/>
      <c r="P586" s="984"/>
    </row>
    <row r="587" spans="3:16" s="942" customFormat="1" ht="19.5" customHeight="1" x14ac:dyDescent="0.25">
      <c r="C587" s="985"/>
      <c r="D587" s="929" t="s">
        <v>435</v>
      </c>
      <c r="E587" s="947">
        <v>250000000</v>
      </c>
      <c r="F587" s="940">
        <v>3903473585000</v>
      </c>
      <c r="G587" s="945">
        <f t="shared" si="13"/>
        <v>6.4045521138066065E-3</v>
      </c>
      <c r="H587" s="941"/>
      <c r="I587" s="941"/>
      <c r="J587" s="941"/>
      <c r="K587" s="941"/>
      <c r="L587" s="941"/>
      <c r="M587" s="941"/>
      <c r="N587" s="941"/>
      <c r="O587" s="941"/>
      <c r="P587" s="984"/>
    </row>
    <row r="588" spans="3:16" s="942" customFormat="1" ht="19.5" customHeight="1" x14ac:dyDescent="0.25">
      <c r="C588" s="985"/>
      <c r="D588" s="929" t="s">
        <v>4475</v>
      </c>
      <c r="E588" s="947">
        <v>150000000</v>
      </c>
      <c r="F588" s="940">
        <v>3903473585000</v>
      </c>
      <c r="G588" s="945">
        <f t="shared" si="13"/>
        <v>3.842731268283963E-3</v>
      </c>
      <c r="H588" s="941"/>
      <c r="I588" s="941"/>
      <c r="J588" s="941"/>
      <c r="K588" s="941"/>
      <c r="L588" s="941"/>
      <c r="M588" s="941"/>
      <c r="N588" s="941"/>
      <c r="O588" s="941"/>
      <c r="P588" s="984"/>
    </row>
    <row r="589" spans="3:16" s="942" customFormat="1" ht="19.5" customHeight="1" x14ac:dyDescent="0.25">
      <c r="C589" s="985"/>
      <c r="D589" s="929" t="s">
        <v>4476</v>
      </c>
      <c r="E589" s="947">
        <v>329039900</v>
      </c>
      <c r="F589" s="940">
        <v>3903473585000</v>
      </c>
      <c r="G589" s="945">
        <f t="shared" si="13"/>
        <v>8.4294127482868568E-3</v>
      </c>
      <c r="H589" s="941"/>
      <c r="I589" s="941"/>
      <c r="J589" s="941"/>
      <c r="K589" s="941"/>
      <c r="L589" s="941"/>
      <c r="M589" s="941"/>
      <c r="N589" s="941"/>
      <c r="O589" s="941"/>
      <c r="P589" s="984"/>
    </row>
    <row r="590" spans="3:16" s="942" customFormat="1" ht="19.5" customHeight="1" x14ac:dyDescent="0.25">
      <c r="C590" s="985"/>
      <c r="D590" s="933" t="s">
        <v>436</v>
      </c>
      <c r="E590" s="946">
        <v>1514560100</v>
      </c>
      <c r="F590" s="940">
        <v>3903473585000</v>
      </c>
      <c r="G590" s="945">
        <f t="shared" si="13"/>
        <v>3.8800316359768577E-2</v>
      </c>
      <c r="H590" s="941"/>
      <c r="I590" s="941"/>
      <c r="J590" s="941"/>
      <c r="K590" s="941"/>
      <c r="L590" s="941"/>
      <c r="M590" s="941"/>
      <c r="N590" s="941"/>
      <c r="O590" s="941"/>
      <c r="P590" s="984"/>
    </row>
    <row r="591" spans="3:16" s="942" customFormat="1" ht="19.5" customHeight="1" x14ac:dyDescent="0.25">
      <c r="C591" s="985"/>
      <c r="D591" s="929" t="s">
        <v>437</v>
      </c>
      <c r="E591" s="947">
        <v>521560100</v>
      </c>
      <c r="F591" s="940">
        <v>3903473585000</v>
      </c>
      <c r="G591" s="945">
        <f t="shared" si="13"/>
        <v>1.3361435363728739E-2</v>
      </c>
      <c r="H591" s="941"/>
      <c r="I591" s="941"/>
      <c r="J591" s="941"/>
      <c r="K591" s="941"/>
      <c r="L591" s="941"/>
      <c r="M591" s="941"/>
      <c r="N591" s="941"/>
      <c r="O591" s="941"/>
      <c r="P591" s="984"/>
    </row>
    <row r="592" spans="3:16" s="942" customFormat="1" ht="19.5" customHeight="1" x14ac:dyDescent="0.25">
      <c r="C592" s="985"/>
      <c r="D592" s="929" t="s">
        <v>440</v>
      </c>
      <c r="E592" s="947">
        <v>555000000</v>
      </c>
      <c r="F592" s="940">
        <v>3903473585000</v>
      </c>
      <c r="G592" s="945">
        <f t="shared" si="13"/>
        <v>1.4218105692650666E-2</v>
      </c>
      <c r="H592" s="941"/>
      <c r="I592" s="941"/>
      <c r="J592" s="941"/>
      <c r="K592" s="941"/>
      <c r="L592" s="941"/>
      <c r="M592" s="941"/>
      <c r="N592" s="941"/>
      <c r="O592" s="941"/>
      <c r="P592" s="984"/>
    </row>
    <row r="593" spans="3:16" s="942" customFormat="1" ht="19.5" customHeight="1" x14ac:dyDescent="0.25">
      <c r="C593" s="985"/>
      <c r="D593" s="929" t="s">
        <v>4477</v>
      </c>
      <c r="E593" s="947">
        <v>438000000</v>
      </c>
      <c r="F593" s="940">
        <v>3903473585000</v>
      </c>
      <c r="G593" s="945">
        <f t="shared" si="13"/>
        <v>1.1220775303389174E-2</v>
      </c>
      <c r="H593" s="941"/>
      <c r="I593" s="941"/>
      <c r="J593" s="941"/>
      <c r="K593" s="941"/>
      <c r="L593" s="941"/>
      <c r="M593" s="941"/>
      <c r="N593" s="941"/>
      <c r="O593" s="941"/>
      <c r="P593" s="984"/>
    </row>
    <row r="594" spans="3:16" s="942" customFormat="1" ht="19.5" customHeight="1" x14ac:dyDescent="0.25">
      <c r="C594" s="985"/>
      <c r="D594" s="933" t="s">
        <v>441</v>
      </c>
      <c r="E594" s="946">
        <v>1150000000</v>
      </c>
      <c r="F594" s="940">
        <v>3903473585000</v>
      </c>
      <c r="G594" s="945">
        <f t="shared" si="13"/>
        <v>2.9460939723510389E-2</v>
      </c>
      <c r="H594" s="941"/>
      <c r="I594" s="941"/>
      <c r="J594" s="941"/>
      <c r="K594" s="941"/>
      <c r="L594" s="941"/>
      <c r="M594" s="941"/>
      <c r="N594" s="941"/>
      <c r="O594" s="941"/>
      <c r="P594" s="984"/>
    </row>
    <row r="595" spans="3:16" s="942" customFormat="1" ht="19.5" customHeight="1" x14ac:dyDescent="0.25">
      <c r="C595" s="985"/>
      <c r="D595" s="929" t="s">
        <v>444</v>
      </c>
      <c r="E595" s="947">
        <v>300000000</v>
      </c>
      <c r="F595" s="940">
        <v>3903473585000</v>
      </c>
      <c r="G595" s="945">
        <f t="shared" si="13"/>
        <v>7.6854625365679261E-3</v>
      </c>
      <c r="H595" s="941"/>
      <c r="I595" s="941"/>
      <c r="J595" s="941"/>
      <c r="K595" s="941"/>
      <c r="L595" s="941"/>
      <c r="M595" s="941"/>
      <c r="N595" s="941"/>
      <c r="O595" s="941"/>
      <c r="P595" s="984"/>
    </row>
    <row r="596" spans="3:16" s="942" customFormat="1" ht="19.5" customHeight="1" x14ac:dyDescent="0.25">
      <c r="C596" s="985"/>
      <c r="D596" s="929" t="s">
        <v>4478</v>
      </c>
      <c r="E596" s="947">
        <v>350000000</v>
      </c>
      <c r="F596" s="940">
        <v>3903473585000</v>
      </c>
      <c r="G596" s="945">
        <f t="shared" si="13"/>
        <v>8.9663729593292482E-3</v>
      </c>
      <c r="H596" s="941"/>
      <c r="I596" s="941"/>
      <c r="J596" s="941"/>
      <c r="K596" s="941"/>
      <c r="L596" s="941"/>
      <c r="M596" s="941"/>
      <c r="N596" s="941"/>
      <c r="O596" s="941"/>
      <c r="P596" s="984"/>
    </row>
    <row r="597" spans="3:16" s="942" customFormat="1" ht="19.5" customHeight="1" x14ac:dyDescent="0.25">
      <c r="C597" s="985"/>
      <c r="D597" s="929" t="s">
        <v>4479</v>
      </c>
      <c r="E597" s="947">
        <v>500000000</v>
      </c>
      <c r="F597" s="940">
        <v>3903473585000</v>
      </c>
      <c r="G597" s="945">
        <f t="shared" si="13"/>
        <v>1.2809104227613213E-2</v>
      </c>
      <c r="H597" s="941"/>
      <c r="I597" s="941"/>
      <c r="J597" s="941"/>
      <c r="K597" s="941"/>
      <c r="L597" s="941"/>
      <c r="M597" s="941"/>
      <c r="N597" s="941"/>
      <c r="O597" s="941"/>
      <c r="P597" s="984"/>
    </row>
    <row r="598" spans="3:16" s="942" customFormat="1" ht="19.5" customHeight="1" x14ac:dyDescent="0.25">
      <c r="C598" s="985"/>
      <c r="D598" s="933" t="s">
        <v>447</v>
      </c>
      <c r="E598" s="946">
        <v>806400000</v>
      </c>
      <c r="F598" s="940">
        <v>3903473585000</v>
      </c>
      <c r="G598" s="945">
        <f t="shared" si="13"/>
        <v>2.0658523298294588E-2</v>
      </c>
      <c r="H598" s="941"/>
      <c r="I598" s="941"/>
      <c r="J598" s="941"/>
      <c r="K598" s="941"/>
      <c r="L598" s="941"/>
      <c r="M598" s="941"/>
      <c r="N598" s="941"/>
      <c r="O598" s="941"/>
      <c r="P598" s="984"/>
    </row>
    <row r="599" spans="3:16" s="942" customFormat="1" ht="19.5" customHeight="1" x14ac:dyDescent="0.25">
      <c r="C599" s="985"/>
      <c r="D599" s="929" t="s">
        <v>449</v>
      </c>
      <c r="E599" s="947">
        <v>200000000</v>
      </c>
      <c r="F599" s="940">
        <v>3903473585000</v>
      </c>
      <c r="G599" s="945">
        <f t="shared" si="13"/>
        <v>5.1236416910452843E-3</v>
      </c>
      <c r="H599" s="941"/>
      <c r="I599" s="941"/>
      <c r="J599" s="941"/>
      <c r="K599" s="941"/>
      <c r="L599" s="941"/>
      <c r="M599" s="941"/>
      <c r="N599" s="941"/>
      <c r="O599" s="941"/>
      <c r="P599" s="984"/>
    </row>
    <row r="600" spans="3:16" s="942" customFormat="1" ht="19.5" customHeight="1" x14ac:dyDescent="0.25">
      <c r="C600" s="985"/>
      <c r="D600" s="929" t="s">
        <v>4480</v>
      </c>
      <c r="E600" s="947">
        <v>206400000</v>
      </c>
      <c r="F600" s="940">
        <v>3903473585000</v>
      </c>
      <c r="G600" s="945">
        <f t="shared" si="13"/>
        <v>5.2875982251587338E-3</v>
      </c>
      <c r="H600" s="941"/>
      <c r="I600" s="941"/>
      <c r="J600" s="941"/>
      <c r="K600" s="941"/>
      <c r="L600" s="941"/>
      <c r="M600" s="941"/>
      <c r="N600" s="941"/>
      <c r="O600" s="941"/>
      <c r="P600" s="984"/>
    </row>
    <row r="601" spans="3:16" s="942" customFormat="1" ht="19.5" customHeight="1" x14ac:dyDescent="0.25">
      <c r="C601" s="985"/>
      <c r="D601" s="929" t="s">
        <v>4481</v>
      </c>
      <c r="E601" s="947">
        <v>400000000</v>
      </c>
      <c r="F601" s="940">
        <v>3903473585000</v>
      </c>
      <c r="G601" s="945">
        <f t="shared" si="13"/>
        <v>1.0247283382090569E-2</v>
      </c>
      <c r="H601" s="941"/>
      <c r="I601" s="941"/>
      <c r="J601" s="941"/>
      <c r="K601" s="941"/>
      <c r="L601" s="941"/>
      <c r="M601" s="941"/>
      <c r="N601" s="941"/>
      <c r="O601" s="941"/>
      <c r="P601" s="984"/>
    </row>
    <row r="602" spans="3:16" s="942" customFormat="1" ht="19.5" customHeight="1" x14ac:dyDescent="0.25">
      <c r="C602" s="985"/>
      <c r="D602" s="928"/>
      <c r="E602" s="947"/>
      <c r="F602" s="940">
        <v>3903473585000</v>
      </c>
      <c r="G602" s="945">
        <f t="shared" si="13"/>
        <v>0</v>
      </c>
      <c r="H602" s="941"/>
      <c r="I602" s="941"/>
      <c r="J602" s="941"/>
      <c r="K602" s="941"/>
      <c r="L602" s="941"/>
      <c r="M602" s="941"/>
      <c r="N602" s="941"/>
      <c r="O602" s="941"/>
      <c r="P602" s="984"/>
    </row>
    <row r="603" spans="3:16" s="942" customFormat="1" ht="19.5" customHeight="1" x14ac:dyDescent="0.25">
      <c r="C603" s="985"/>
      <c r="D603" s="933" t="s">
        <v>450</v>
      </c>
      <c r="E603" s="948">
        <f>+E604</f>
        <v>10000000000</v>
      </c>
      <c r="F603" s="940">
        <v>3903473585000</v>
      </c>
      <c r="G603" s="945">
        <f t="shared" si="13"/>
        <v>0.25618208455226421</v>
      </c>
      <c r="H603" s="941"/>
      <c r="I603" s="941"/>
      <c r="J603" s="941"/>
      <c r="K603" s="941"/>
      <c r="L603" s="941"/>
      <c r="M603" s="941"/>
      <c r="N603" s="941"/>
      <c r="O603" s="941"/>
      <c r="P603" s="984"/>
    </row>
    <row r="604" spans="3:16" s="942" customFormat="1" ht="19.5" customHeight="1" x14ac:dyDescent="0.25">
      <c r="C604" s="985"/>
      <c r="D604" s="933" t="s">
        <v>480</v>
      </c>
      <c r="E604" s="946">
        <f>+E605+E606+E607+E608</f>
        <v>10000000000</v>
      </c>
      <c r="F604" s="940">
        <v>3903473585000</v>
      </c>
      <c r="G604" s="945">
        <f t="shared" si="13"/>
        <v>0.25618208455226421</v>
      </c>
      <c r="H604" s="941"/>
      <c r="I604" s="941"/>
      <c r="J604" s="941"/>
      <c r="K604" s="941"/>
      <c r="L604" s="941"/>
      <c r="M604" s="941"/>
      <c r="N604" s="941"/>
      <c r="O604" s="941"/>
      <c r="P604" s="984"/>
    </row>
    <row r="605" spans="3:16" s="942" customFormat="1" ht="19.5" customHeight="1" x14ac:dyDescent="0.25">
      <c r="C605" s="985"/>
      <c r="D605" s="929" t="s">
        <v>4482</v>
      </c>
      <c r="E605" s="947">
        <v>3714900000</v>
      </c>
      <c r="F605" s="940">
        <v>3903473585000</v>
      </c>
      <c r="G605" s="945">
        <f t="shared" si="13"/>
        <v>9.5169082590320642E-2</v>
      </c>
      <c r="H605" s="941"/>
      <c r="I605" s="941"/>
      <c r="J605" s="941"/>
      <c r="K605" s="941"/>
      <c r="L605" s="941"/>
      <c r="M605" s="941"/>
      <c r="N605" s="941"/>
      <c r="O605" s="941"/>
      <c r="P605" s="984"/>
    </row>
    <row r="606" spans="3:16" s="942" customFormat="1" ht="19.5" customHeight="1" x14ac:dyDescent="0.25">
      <c r="C606" s="985"/>
      <c r="D606" s="929" t="s">
        <v>4483</v>
      </c>
      <c r="E606" s="947">
        <v>4532620000</v>
      </c>
      <c r="F606" s="940">
        <v>3903473585000</v>
      </c>
      <c r="G606" s="945">
        <f t="shared" si="13"/>
        <v>0.11611760400832841</v>
      </c>
      <c r="H606" s="941"/>
      <c r="I606" s="941"/>
      <c r="J606" s="941"/>
      <c r="K606" s="941"/>
      <c r="L606" s="941"/>
      <c r="M606" s="941"/>
      <c r="N606" s="941"/>
      <c r="O606" s="941"/>
      <c r="P606" s="984"/>
    </row>
    <row r="607" spans="3:16" s="942" customFormat="1" ht="19.5" customHeight="1" x14ac:dyDescent="0.25">
      <c r="C607" s="985"/>
      <c r="D607" s="929" t="s">
        <v>4484</v>
      </c>
      <c r="E607" s="947">
        <v>1230200227</v>
      </c>
      <c r="F607" s="940">
        <v>3903473585000</v>
      </c>
      <c r="G607" s="945">
        <f t="shared" si="13"/>
        <v>3.1515525856952865E-2</v>
      </c>
      <c r="H607" s="941"/>
      <c r="I607" s="941"/>
      <c r="J607" s="941"/>
      <c r="K607" s="941"/>
      <c r="L607" s="941"/>
      <c r="M607" s="941"/>
      <c r="N607" s="941"/>
      <c r="O607" s="941"/>
      <c r="P607" s="984"/>
    </row>
    <row r="608" spans="3:16" s="937" customFormat="1" ht="19.5" customHeight="1" x14ac:dyDescent="0.25">
      <c r="C608" s="983"/>
      <c r="D608" s="965" t="s">
        <v>483</v>
      </c>
      <c r="E608" s="947">
        <v>522279773</v>
      </c>
      <c r="F608" s="940">
        <v>3903473585000</v>
      </c>
      <c r="G608" s="945">
        <f t="shared" si="13"/>
        <v>1.3379872096662337E-2</v>
      </c>
      <c r="H608" s="939"/>
      <c r="I608" s="939"/>
      <c r="J608" s="939"/>
      <c r="K608" s="939"/>
      <c r="L608" s="939"/>
      <c r="M608" s="939"/>
      <c r="N608" s="939"/>
      <c r="O608" s="939"/>
      <c r="P608" s="936"/>
    </row>
    <row r="609" spans="3:16" s="942" customFormat="1" ht="19.5" customHeight="1" x14ac:dyDescent="0.25">
      <c r="C609" s="985"/>
      <c r="D609" s="928"/>
      <c r="E609" s="947"/>
      <c r="F609" s="940">
        <v>3903473585000</v>
      </c>
      <c r="G609" s="945">
        <f t="shared" si="13"/>
        <v>0</v>
      </c>
      <c r="H609" s="941"/>
      <c r="I609" s="941"/>
      <c r="J609" s="941"/>
      <c r="K609" s="941"/>
      <c r="L609" s="941"/>
      <c r="M609" s="941"/>
      <c r="N609" s="941"/>
      <c r="O609" s="941"/>
      <c r="P609" s="984"/>
    </row>
    <row r="610" spans="3:16" s="942" customFormat="1" ht="19.5" customHeight="1" x14ac:dyDescent="0.25">
      <c r="C610" s="985"/>
      <c r="D610" s="933" t="s">
        <v>485</v>
      </c>
      <c r="E610" s="948">
        <f>+E611+E613+E617</f>
        <v>6000000000</v>
      </c>
      <c r="F610" s="940">
        <v>3903473585000</v>
      </c>
      <c r="G610" s="945">
        <f t="shared" si="13"/>
        <v>0.15370925073135852</v>
      </c>
      <c r="H610" s="941"/>
      <c r="I610" s="941"/>
      <c r="J610" s="941"/>
      <c r="K610" s="941"/>
      <c r="L610" s="941"/>
      <c r="M610" s="941"/>
      <c r="N610" s="941"/>
      <c r="O610" s="941"/>
      <c r="P610" s="984"/>
    </row>
    <row r="611" spans="3:16" s="942" customFormat="1" ht="19.5" customHeight="1" x14ac:dyDescent="0.25">
      <c r="C611" s="985"/>
      <c r="D611" s="933" t="s">
        <v>464</v>
      </c>
      <c r="E611" s="946">
        <v>2650500000</v>
      </c>
      <c r="F611" s="940">
        <v>3903473585000</v>
      </c>
      <c r="G611" s="945">
        <f t="shared" si="13"/>
        <v>6.7901061510577634E-2</v>
      </c>
      <c r="H611" s="941"/>
      <c r="I611" s="941"/>
      <c r="J611" s="941"/>
      <c r="K611" s="941"/>
      <c r="L611" s="941"/>
      <c r="M611" s="941"/>
      <c r="N611" s="941"/>
      <c r="O611" s="941"/>
      <c r="P611" s="984"/>
    </row>
    <row r="612" spans="3:16" s="942" customFormat="1" ht="19.5" customHeight="1" x14ac:dyDescent="0.25">
      <c r="C612" s="985"/>
      <c r="D612" s="929" t="s">
        <v>492</v>
      </c>
      <c r="E612" s="947">
        <v>2650500000</v>
      </c>
      <c r="F612" s="940">
        <v>3903473585000</v>
      </c>
      <c r="G612" s="945">
        <f t="shared" si="13"/>
        <v>6.7901061510577634E-2</v>
      </c>
      <c r="H612" s="941"/>
      <c r="I612" s="941"/>
      <c r="J612" s="941"/>
      <c r="K612" s="941"/>
      <c r="L612" s="941"/>
      <c r="M612" s="941"/>
      <c r="N612" s="941"/>
      <c r="O612" s="941"/>
      <c r="P612" s="984"/>
    </row>
    <row r="613" spans="3:16" s="942" customFormat="1" ht="19.5" customHeight="1" x14ac:dyDescent="0.25">
      <c r="C613" s="985"/>
      <c r="D613" s="933" t="s">
        <v>496</v>
      </c>
      <c r="E613" s="946">
        <v>2850000000</v>
      </c>
      <c r="F613" s="940">
        <v>3903473585000</v>
      </c>
      <c r="G613" s="945">
        <f t="shared" si="13"/>
        <v>7.3011894097395308E-2</v>
      </c>
      <c r="H613" s="941"/>
      <c r="I613" s="941"/>
      <c r="J613" s="941"/>
      <c r="K613" s="941"/>
      <c r="L613" s="941"/>
      <c r="M613" s="941"/>
      <c r="N613" s="941"/>
      <c r="O613" s="941"/>
      <c r="P613" s="984"/>
    </row>
    <row r="614" spans="3:16" s="942" customFormat="1" ht="19.5" customHeight="1" x14ac:dyDescent="0.25">
      <c r="C614" s="985"/>
      <c r="D614" s="929" t="s">
        <v>497</v>
      </c>
      <c r="E614" s="947">
        <v>757500000</v>
      </c>
      <c r="F614" s="940">
        <v>3903473585000</v>
      </c>
      <c r="G614" s="945">
        <f t="shared" si="13"/>
        <v>1.9405792904834015E-2</v>
      </c>
      <c r="H614" s="941"/>
      <c r="I614" s="941"/>
      <c r="J614" s="941"/>
      <c r="K614" s="941"/>
      <c r="L614" s="941"/>
      <c r="M614" s="941"/>
      <c r="N614" s="941"/>
      <c r="O614" s="941"/>
      <c r="P614" s="984"/>
    </row>
    <row r="615" spans="3:16" s="942" customFormat="1" ht="19.5" customHeight="1" x14ac:dyDescent="0.25">
      <c r="C615" s="985"/>
      <c r="D615" s="929" t="s">
        <v>500</v>
      </c>
      <c r="E615" s="947">
        <v>1119000000</v>
      </c>
      <c r="F615" s="940">
        <v>3903473585000</v>
      </c>
      <c r="G615" s="945">
        <f t="shared" si="13"/>
        <v>2.8666775261398367E-2</v>
      </c>
      <c r="H615" s="941"/>
      <c r="I615" s="941"/>
      <c r="J615" s="941"/>
      <c r="K615" s="941"/>
      <c r="L615" s="941"/>
      <c r="M615" s="941"/>
      <c r="N615" s="941"/>
      <c r="O615" s="941"/>
      <c r="P615" s="984"/>
    </row>
    <row r="616" spans="3:16" s="942" customFormat="1" ht="19.5" customHeight="1" x14ac:dyDescent="0.25">
      <c r="C616" s="985"/>
      <c r="D616" s="929" t="s">
        <v>501</v>
      </c>
      <c r="E616" s="947">
        <v>973500000</v>
      </c>
      <c r="F616" s="940">
        <v>3903473585000</v>
      </c>
      <c r="G616" s="945">
        <f t="shared" si="13"/>
        <v>2.4939325931162923E-2</v>
      </c>
      <c r="H616" s="941"/>
      <c r="I616" s="941"/>
      <c r="J616" s="941"/>
      <c r="K616" s="941"/>
      <c r="L616" s="941"/>
      <c r="M616" s="941"/>
      <c r="N616" s="941"/>
      <c r="O616" s="941"/>
      <c r="P616" s="984"/>
    </row>
    <row r="617" spans="3:16" s="942" customFormat="1" ht="19.5" customHeight="1" x14ac:dyDescent="0.25">
      <c r="C617" s="985"/>
      <c r="D617" s="933" t="s">
        <v>472</v>
      </c>
      <c r="E617" s="946">
        <v>499500000</v>
      </c>
      <c r="F617" s="940">
        <v>3903473585000</v>
      </c>
      <c r="G617" s="945">
        <f t="shared" si="13"/>
        <v>1.27962951233856E-2</v>
      </c>
      <c r="H617" s="941"/>
      <c r="I617" s="941"/>
      <c r="J617" s="941"/>
      <c r="K617" s="941"/>
      <c r="L617" s="941"/>
      <c r="M617" s="941"/>
      <c r="N617" s="941"/>
      <c r="O617" s="941"/>
      <c r="P617" s="984"/>
    </row>
    <row r="618" spans="3:16" s="942" customFormat="1" ht="19.5" customHeight="1" x14ac:dyDescent="0.25">
      <c r="C618" s="985"/>
      <c r="D618" s="929" t="s">
        <v>505</v>
      </c>
      <c r="E618" s="947">
        <v>499500000</v>
      </c>
      <c r="F618" s="940">
        <v>3903473585000</v>
      </c>
      <c r="G618" s="945">
        <f t="shared" si="13"/>
        <v>1.27962951233856E-2</v>
      </c>
      <c r="H618" s="941"/>
      <c r="I618" s="941"/>
      <c r="J618" s="941"/>
      <c r="K618" s="941"/>
      <c r="L618" s="941"/>
      <c r="M618" s="941"/>
      <c r="N618" s="941"/>
      <c r="O618" s="941"/>
      <c r="P618" s="984"/>
    </row>
    <row r="619" spans="3:16" s="942" customFormat="1" ht="19.5" customHeight="1" x14ac:dyDescent="0.25">
      <c r="C619" s="985"/>
      <c r="D619" s="928"/>
      <c r="E619" s="947"/>
      <c r="F619" s="940">
        <v>3903473585000</v>
      </c>
      <c r="G619" s="945">
        <f t="shared" si="13"/>
        <v>0</v>
      </c>
      <c r="H619" s="941"/>
      <c r="I619" s="941"/>
      <c r="J619" s="941"/>
      <c r="K619" s="941"/>
      <c r="L619" s="941"/>
      <c r="M619" s="941"/>
      <c r="N619" s="941"/>
      <c r="O619" s="941"/>
      <c r="P619" s="984"/>
    </row>
    <row r="620" spans="3:16" s="942" customFormat="1" ht="19.5" customHeight="1" x14ac:dyDescent="0.25">
      <c r="C620" s="985"/>
      <c r="D620" s="933" t="s">
        <v>509</v>
      </c>
      <c r="E620" s="948">
        <f>+E621</f>
        <v>6000000000</v>
      </c>
      <c r="F620" s="940">
        <v>3903473585000</v>
      </c>
      <c r="G620" s="945">
        <f t="shared" si="13"/>
        <v>0.15370925073135852</v>
      </c>
      <c r="H620" s="941"/>
      <c r="I620" s="941"/>
      <c r="J620" s="941"/>
      <c r="K620" s="941"/>
      <c r="L620" s="941"/>
      <c r="M620" s="941"/>
      <c r="N620" s="941"/>
      <c r="O620" s="941"/>
      <c r="P620" s="984"/>
    </row>
    <row r="621" spans="3:16" s="942" customFormat="1" ht="19.5" customHeight="1" x14ac:dyDescent="0.25">
      <c r="C621" s="985"/>
      <c r="D621" s="933" t="s">
        <v>517</v>
      </c>
      <c r="E621" s="946">
        <v>6000000000</v>
      </c>
      <c r="F621" s="940">
        <v>3903473585000</v>
      </c>
      <c r="G621" s="945">
        <f t="shared" si="13"/>
        <v>0.15370925073135852</v>
      </c>
      <c r="H621" s="941"/>
      <c r="I621" s="941"/>
      <c r="J621" s="941"/>
      <c r="K621" s="941"/>
      <c r="L621" s="941"/>
      <c r="M621" s="941"/>
      <c r="N621" s="941"/>
      <c r="O621" s="941"/>
      <c r="P621" s="984"/>
    </row>
    <row r="622" spans="3:16" s="942" customFormat="1" ht="19.5" customHeight="1" x14ac:dyDescent="0.25">
      <c r="C622" s="985"/>
      <c r="D622" s="929" t="s">
        <v>4485</v>
      </c>
      <c r="E622" s="947">
        <v>6000000000</v>
      </c>
      <c r="F622" s="940">
        <v>3903473585000</v>
      </c>
      <c r="G622" s="945">
        <f t="shared" si="13"/>
        <v>0.15370925073135852</v>
      </c>
      <c r="H622" s="941"/>
      <c r="I622" s="941"/>
      <c r="J622" s="941"/>
      <c r="K622" s="941"/>
      <c r="L622" s="941"/>
      <c r="M622" s="941"/>
      <c r="N622" s="941"/>
      <c r="O622" s="941"/>
      <c r="P622" s="984"/>
    </row>
    <row r="623" spans="3:16" s="942" customFormat="1" ht="19.5" customHeight="1" x14ac:dyDescent="0.25">
      <c r="C623" s="985"/>
      <c r="D623" s="928" t="s">
        <v>4372</v>
      </c>
      <c r="E623" s="947"/>
      <c r="F623" s="940">
        <v>3903473585000</v>
      </c>
      <c r="G623" s="945">
        <f t="shared" si="13"/>
        <v>0</v>
      </c>
      <c r="H623" s="941"/>
      <c r="I623" s="941"/>
      <c r="J623" s="941"/>
      <c r="K623" s="941"/>
      <c r="L623" s="941"/>
      <c r="M623" s="941"/>
      <c r="N623" s="941"/>
      <c r="O623" s="941"/>
      <c r="P623" s="984"/>
    </row>
    <row r="624" spans="3:16" s="942" customFormat="1" ht="19.5" customHeight="1" x14ac:dyDescent="0.25">
      <c r="C624" s="985"/>
      <c r="D624" s="933" t="s">
        <v>530</v>
      </c>
      <c r="E624" s="948">
        <f>+E625+E628+E630</f>
        <v>8000000000</v>
      </c>
      <c r="F624" s="940">
        <v>3903473585000</v>
      </c>
      <c r="G624" s="945">
        <f t="shared" si="13"/>
        <v>0.20494566764181141</v>
      </c>
      <c r="H624" s="941"/>
      <c r="I624" s="941"/>
      <c r="J624" s="941"/>
      <c r="K624" s="941"/>
      <c r="L624" s="941"/>
      <c r="M624" s="941"/>
      <c r="N624" s="941"/>
      <c r="O624" s="941"/>
      <c r="P624" s="984"/>
    </row>
    <row r="625" spans="3:16" s="942" customFormat="1" ht="19.5" customHeight="1" x14ac:dyDescent="0.25">
      <c r="C625" s="985"/>
      <c r="D625" s="933" t="s">
        <v>531</v>
      </c>
      <c r="E625" s="946">
        <v>1750000000</v>
      </c>
      <c r="F625" s="940">
        <v>3903473585000</v>
      </c>
      <c r="G625" s="945">
        <f t="shared" si="13"/>
        <v>4.4831864796646241E-2</v>
      </c>
      <c r="H625" s="941"/>
      <c r="I625" s="941"/>
      <c r="J625" s="941"/>
      <c r="K625" s="941"/>
      <c r="L625" s="941"/>
      <c r="M625" s="941"/>
      <c r="N625" s="941"/>
      <c r="O625" s="941"/>
      <c r="P625" s="984"/>
    </row>
    <row r="626" spans="3:16" s="942" customFormat="1" ht="19.5" customHeight="1" x14ac:dyDescent="0.25">
      <c r="C626" s="985"/>
      <c r="D626" s="929" t="s">
        <v>4486</v>
      </c>
      <c r="E626" s="947">
        <v>1000000000</v>
      </c>
      <c r="F626" s="940">
        <v>3903473585000</v>
      </c>
      <c r="G626" s="945">
        <f t="shared" si="13"/>
        <v>2.5618208455226426E-2</v>
      </c>
      <c r="H626" s="941"/>
      <c r="I626" s="941"/>
      <c r="J626" s="941"/>
      <c r="K626" s="941"/>
      <c r="L626" s="941"/>
      <c r="M626" s="941"/>
      <c r="N626" s="941"/>
      <c r="O626" s="941"/>
      <c r="P626" s="984"/>
    </row>
    <row r="627" spans="3:16" s="942" customFormat="1" ht="19.5" customHeight="1" x14ac:dyDescent="0.25">
      <c r="C627" s="985"/>
      <c r="D627" s="929" t="s">
        <v>535</v>
      </c>
      <c r="E627" s="947">
        <v>750000000</v>
      </c>
      <c r="F627" s="940">
        <v>3903473585000</v>
      </c>
      <c r="G627" s="945">
        <f t="shared" si="13"/>
        <v>1.9213656341419815E-2</v>
      </c>
      <c r="H627" s="941"/>
      <c r="I627" s="941"/>
      <c r="J627" s="941"/>
      <c r="K627" s="941"/>
      <c r="L627" s="941"/>
      <c r="M627" s="941"/>
      <c r="N627" s="941"/>
      <c r="O627" s="941"/>
      <c r="P627" s="984"/>
    </row>
    <row r="628" spans="3:16" s="942" customFormat="1" ht="19.5" customHeight="1" x14ac:dyDescent="0.25">
      <c r="C628" s="985"/>
      <c r="D628" s="933" t="s">
        <v>536</v>
      </c>
      <c r="E628" s="946">
        <v>2800000000</v>
      </c>
      <c r="F628" s="940">
        <v>3903473585000</v>
      </c>
      <c r="G628" s="945">
        <f t="shared" si="13"/>
        <v>7.1730983674633986E-2</v>
      </c>
      <c r="H628" s="941"/>
      <c r="I628" s="941"/>
      <c r="J628" s="941"/>
      <c r="K628" s="941"/>
      <c r="L628" s="941"/>
      <c r="M628" s="941"/>
      <c r="N628" s="941"/>
      <c r="O628" s="941"/>
      <c r="P628" s="984"/>
    </row>
    <row r="629" spans="3:16" s="942" customFormat="1" ht="19.5" customHeight="1" x14ac:dyDescent="0.25">
      <c r="C629" s="985"/>
      <c r="D629" s="929" t="s">
        <v>4487</v>
      </c>
      <c r="E629" s="947">
        <v>2800000000</v>
      </c>
      <c r="F629" s="940">
        <v>3903473585000</v>
      </c>
      <c r="G629" s="945">
        <f t="shared" si="13"/>
        <v>7.1730983674633986E-2</v>
      </c>
      <c r="H629" s="941"/>
      <c r="I629" s="941"/>
      <c r="J629" s="941"/>
      <c r="K629" s="941"/>
      <c r="L629" s="941"/>
      <c r="M629" s="941"/>
      <c r="N629" s="941"/>
      <c r="O629" s="941"/>
      <c r="P629" s="984"/>
    </row>
    <row r="630" spans="3:16" s="942" customFormat="1" ht="19.5" customHeight="1" x14ac:dyDescent="0.25">
      <c r="C630" s="985"/>
      <c r="D630" s="933" t="s">
        <v>540</v>
      </c>
      <c r="E630" s="946">
        <v>3450000000</v>
      </c>
      <c r="F630" s="940">
        <v>3903473585000</v>
      </c>
      <c r="G630" s="945">
        <f t="shared" ref="G630:G693" si="14">+E630/F630*100</f>
        <v>8.838281917053116E-2</v>
      </c>
      <c r="H630" s="941"/>
      <c r="I630" s="941"/>
      <c r="J630" s="941"/>
      <c r="K630" s="941"/>
      <c r="L630" s="941"/>
      <c r="M630" s="941"/>
      <c r="N630" s="941"/>
      <c r="O630" s="941"/>
      <c r="P630" s="984"/>
    </row>
    <row r="631" spans="3:16" s="942" customFormat="1" ht="19.5" customHeight="1" x14ac:dyDescent="0.25">
      <c r="C631" s="985"/>
      <c r="D631" s="929" t="s">
        <v>4488</v>
      </c>
      <c r="E631" s="947">
        <v>500000000</v>
      </c>
      <c r="F631" s="940">
        <v>3903473585000</v>
      </c>
      <c r="G631" s="945">
        <f t="shared" si="14"/>
        <v>1.2809104227613213E-2</v>
      </c>
      <c r="H631" s="941"/>
      <c r="I631" s="941"/>
      <c r="J631" s="941"/>
      <c r="K631" s="941"/>
      <c r="L631" s="941"/>
      <c r="M631" s="941"/>
      <c r="N631" s="941"/>
      <c r="O631" s="941"/>
      <c r="P631" s="984"/>
    </row>
    <row r="632" spans="3:16" s="942" customFormat="1" ht="19.5" customHeight="1" x14ac:dyDescent="0.25">
      <c r="C632" s="985"/>
      <c r="D632" s="929" t="s">
        <v>4489</v>
      </c>
      <c r="E632" s="947">
        <v>2750000000</v>
      </c>
      <c r="F632" s="940">
        <v>3903473585000</v>
      </c>
      <c r="G632" s="945">
        <f t="shared" si="14"/>
        <v>7.0450073251872664E-2</v>
      </c>
      <c r="H632" s="941"/>
      <c r="I632" s="941"/>
      <c r="J632" s="941"/>
      <c r="K632" s="941"/>
      <c r="L632" s="941"/>
      <c r="M632" s="941"/>
      <c r="N632" s="941"/>
      <c r="O632" s="941"/>
      <c r="P632" s="984"/>
    </row>
    <row r="633" spans="3:16" s="942" customFormat="1" ht="19.5" customHeight="1" x14ac:dyDescent="0.25">
      <c r="C633" s="985"/>
      <c r="D633" s="929" t="s">
        <v>4490</v>
      </c>
      <c r="E633" s="947">
        <v>200000000</v>
      </c>
      <c r="F633" s="940">
        <v>3903473585000</v>
      </c>
      <c r="G633" s="945">
        <f t="shared" si="14"/>
        <v>5.1236416910452843E-3</v>
      </c>
      <c r="H633" s="941"/>
      <c r="I633" s="941"/>
      <c r="J633" s="941"/>
      <c r="K633" s="941"/>
      <c r="L633" s="941"/>
      <c r="M633" s="941"/>
      <c r="N633" s="941"/>
      <c r="O633" s="941"/>
      <c r="P633" s="984"/>
    </row>
    <row r="634" spans="3:16" s="942" customFormat="1" ht="19.5" customHeight="1" x14ac:dyDescent="0.25">
      <c r="C634" s="985"/>
      <c r="D634" s="928"/>
      <c r="E634" s="947"/>
      <c r="F634" s="940">
        <v>3903473585000</v>
      </c>
      <c r="G634" s="945">
        <f t="shared" si="14"/>
        <v>0</v>
      </c>
      <c r="H634" s="941"/>
      <c r="I634" s="941"/>
      <c r="J634" s="941"/>
      <c r="K634" s="941"/>
      <c r="L634" s="941"/>
      <c r="M634" s="941"/>
      <c r="N634" s="941"/>
      <c r="O634" s="941"/>
      <c r="P634" s="984"/>
    </row>
    <row r="635" spans="3:16" s="942" customFormat="1" ht="19.5" customHeight="1" x14ac:dyDescent="0.25">
      <c r="C635" s="985"/>
      <c r="D635" s="933" t="s">
        <v>549</v>
      </c>
      <c r="E635" s="948">
        <f>+E636+E638+E640+E643</f>
        <v>5000000000</v>
      </c>
      <c r="F635" s="940">
        <v>3903473585000</v>
      </c>
      <c r="G635" s="945">
        <f t="shared" si="14"/>
        <v>0.12809104227613211</v>
      </c>
      <c r="H635" s="941"/>
      <c r="I635" s="941"/>
      <c r="J635" s="941"/>
      <c r="K635" s="941"/>
      <c r="L635" s="941"/>
      <c r="M635" s="941"/>
      <c r="N635" s="941"/>
      <c r="O635" s="941"/>
      <c r="P635" s="984"/>
    </row>
    <row r="636" spans="3:16" s="942" customFormat="1" ht="19.5" customHeight="1" x14ac:dyDescent="0.25">
      <c r="C636" s="985"/>
      <c r="D636" s="933" t="s">
        <v>151</v>
      </c>
      <c r="E636" s="946">
        <f>+E637</f>
        <v>2252927085</v>
      </c>
      <c r="F636" s="940">
        <v>3903473585000</v>
      </c>
      <c r="G636" s="945">
        <f t="shared" si="14"/>
        <v>5.7715955697955616E-2</v>
      </c>
      <c r="H636" s="941"/>
      <c r="I636" s="941"/>
      <c r="J636" s="941"/>
      <c r="K636" s="941"/>
      <c r="L636" s="941"/>
      <c r="M636" s="941"/>
      <c r="N636" s="941"/>
      <c r="O636" s="941"/>
      <c r="P636" s="984"/>
    </row>
    <row r="637" spans="3:16" s="942" customFormat="1" ht="19.5" customHeight="1" x14ac:dyDescent="0.25">
      <c r="C637" s="985"/>
      <c r="D637" s="929" t="s">
        <v>152</v>
      </c>
      <c r="E637" s="947">
        <v>2252927085</v>
      </c>
      <c r="F637" s="940">
        <v>3903473585000</v>
      </c>
      <c r="G637" s="945">
        <f t="shared" si="14"/>
        <v>5.7715955697955616E-2</v>
      </c>
      <c r="H637" s="941"/>
      <c r="I637" s="941"/>
      <c r="J637" s="941"/>
      <c r="K637" s="941"/>
      <c r="L637" s="941"/>
      <c r="M637" s="941"/>
      <c r="N637" s="941"/>
      <c r="O637" s="941"/>
      <c r="P637" s="984"/>
    </row>
    <row r="638" spans="3:16" s="942" customFormat="1" ht="19.5" customHeight="1" x14ac:dyDescent="0.25">
      <c r="C638" s="985"/>
      <c r="D638" s="933" t="s">
        <v>552</v>
      </c>
      <c r="E638" s="946">
        <f>+E639</f>
        <v>439860000</v>
      </c>
      <c r="F638" s="940">
        <v>3903473585000</v>
      </c>
      <c r="G638" s="945">
        <f t="shared" si="14"/>
        <v>1.1268425171115894E-2</v>
      </c>
      <c r="H638" s="941"/>
      <c r="I638" s="941"/>
      <c r="J638" s="941"/>
      <c r="K638" s="941"/>
      <c r="L638" s="941"/>
      <c r="M638" s="941"/>
      <c r="N638" s="941"/>
      <c r="O638" s="941"/>
      <c r="P638" s="984"/>
    </row>
    <row r="639" spans="3:16" s="942" customFormat="1" ht="19.5" customHeight="1" x14ac:dyDescent="0.25">
      <c r="C639" s="985"/>
      <c r="D639" s="929" t="s">
        <v>4491</v>
      </c>
      <c r="E639" s="947">
        <v>439860000</v>
      </c>
      <c r="F639" s="940">
        <v>3903473585000</v>
      </c>
      <c r="G639" s="945">
        <f t="shared" si="14"/>
        <v>1.1268425171115894E-2</v>
      </c>
      <c r="H639" s="941"/>
      <c r="I639" s="941"/>
      <c r="J639" s="941"/>
      <c r="K639" s="941"/>
      <c r="L639" s="941"/>
      <c r="M639" s="941"/>
      <c r="N639" s="941"/>
      <c r="O639" s="941"/>
      <c r="P639" s="984"/>
    </row>
    <row r="640" spans="3:16" s="942" customFormat="1" ht="19.5" customHeight="1" x14ac:dyDescent="0.25">
      <c r="C640" s="985"/>
      <c r="D640" s="933" t="s">
        <v>557</v>
      </c>
      <c r="E640" s="946">
        <f>+E641+E642</f>
        <v>1400000000</v>
      </c>
      <c r="F640" s="940">
        <v>3903473585000</v>
      </c>
      <c r="G640" s="945">
        <f t="shared" si="14"/>
        <v>3.5865491837316993E-2</v>
      </c>
      <c r="H640" s="941"/>
      <c r="I640" s="941"/>
      <c r="J640" s="941"/>
      <c r="K640" s="941"/>
      <c r="L640" s="941"/>
      <c r="M640" s="941"/>
      <c r="N640" s="941"/>
      <c r="O640" s="941"/>
      <c r="P640" s="984"/>
    </row>
    <row r="641" spans="3:16" s="942" customFormat="1" ht="19.5" customHeight="1" x14ac:dyDescent="0.25">
      <c r="C641" s="985"/>
      <c r="D641" s="929" t="s">
        <v>4492</v>
      </c>
      <c r="E641" s="947">
        <v>650000000</v>
      </c>
      <c r="F641" s="940">
        <v>3903473585000</v>
      </c>
      <c r="G641" s="945">
        <f t="shared" si="14"/>
        <v>1.6651835495897174E-2</v>
      </c>
      <c r="H641" s="941"/>
      <c r="I641" s="941"/>
      <c r="J641" s="941"/>
      <c r="K641" s="941"/>
      <c r="L641" s="941"/>
      <c r="M641" s="941"/>
      <c r="N641" s="941"/>
      <c r="O641" s="941"/>
      <c r="P641" s="984"/>
    </row>
    <row r="642" spans="3:16" s="942" customFormat="1" ht="19.5" customHeight="1" x14ac:dyDescent="0.25">
      <c r="C642" s="985"/>
      <c r="D642" s="929" t="s">
        <v>560</v>
      </c>
      <c r="E642" s="947">
        <v>750000000</v>
      </c>
      <c r="F642" s="940">
        <v>3903473585000</v>
      </c>
      <c r="G642" s="945">
        <f t="shared" si="14"/>
        <v>1.9213656341419815E-2</v>
      </c>
      <c r="H642" s="941"/>
      <c r="I642" s="941"/>
      <c r="J642" s="941"/>
      <c r="K642" s="941"/>
      <c r="L642" s="941"/>
      <c r="M642" s="941"/>
      <c r="N642" s="941"/>
      <c r="O642" s="941"/>
      <c r="P642" s="984"/>
    </row>
    <row r="643" spans="3:16" s="942" customFormat="1" ht="19.5" customHeight="1" x14ac:dyDescent="0.25">
      <c r="C643" s="985"/>
      <c r="D643" s="933" t="s">
        <v>561</v>
      </c>
      <c r="E643" s="946">
        <f>+E644+E645</f>
        <v>907212915</v>
      </c>
      <c r="F643" s="940">
        <v>3903473585000</v>
      </c>
      <c r="G643" s="945">
        <f t="shared" si="14"/>
        <v>2.3241169569743609E-2</v>
      </c>
      <c r="H643" s="941"/>
      <c r="I643" s="941"/>
      <c r="J643" s="941"/>
      <c r="K643" s="941"/>
      <c r="L643" s="941"/>
      <c r="M643" s="941"/>
      <c r="N643" s="941"/>
      <c r="O643" s="941"/>
      <c r="P643" s="984"/>
    </row>
    <row r="644" spans="3:16" s="942" customFormat="1" ht="19.5" customHeight="1" x14ac:dyDescent="0.25">
      <c r="C644" s="985"/>
      <c r="D644" s="929" t="s">
        <v>4493</v>
      </c>
      <c r="E644" s="947">
        <v>606840000</v>
      </c>
      <c r="F644" s="940">
        <v>3903473585000</v>
      </c>
      <c r="G644" s="945">
        <f t="shared" si="14"/>
        <v>1.5546153618969601E-2</v>
      </c>
      <c r="H644" s="941"/>
      <c r="I644" s="941"/>
      <c r="J644" s="941"/>
      <c r="K644" s="941"/>
      <c r="L644" s="941"/>
      <c r="M644" s="941"/>
      <c r="N644" s="941"/>
      <c r="O644" s="941"/>
      <c r="P644" s="984"/>
    </row>
    <row r="645" spans="3:16" s="942" customFormat="1" ht="19.5" customHeight="1" x14ac:dyDescent="0.25">
      <c r="C645" s="985"/>
      <c r="D645" s="929" t="s">
        <v>563</v>
      </c>
      <c r="E645" s="947">
        <v>300372915</v>
      </c>
      <c r="F645" s="940">
        <v>3903473585000</v>
      </c>
      <c r="G645" s="945">
        <f t="shared" si="14"/>
        <v>7.6950159507740076E-3</v>
      </c>
      <c r="H645" s="941"/>
      <c r="I645" s="941"/>
      <c r="J645" s="941"/>
      <c r="K645" s="941"/>
      <c r="L645" s="941"/>
      <c r="M645" s="941"/>
      <c r="N645" s="941"/>
      <c r="O645" s="941"/>
      <c r="P645" s="984"/>
    </row>
    <row r="646" spans="3:16" s="942" customFormat="1" ht="19.5" customHeight="1" x14ac:dyDescent="0.25">
      <c r="C646" s="985"/>
      <c r="D646" s="928"/>
      <c r="E646" s="947"/>
      <c r="F646" s="940">
        <v>3903473585000</v>
      </c>
      <c r="G646" s="945">
        <f t="shared" si="14"/>
        <v>0</v>
      </c>
      <c r="H646" s="941"/>
      <c r="I646" s="941"/>
      <c r="J646" s="941"/>
      <c r="K646" s="941"/>
      <c r="L646" s="941"/>
      <c r="M646" s="941"/>
      <c r="N646" s="941"/>
      <c r="O646" s="941"/>
      <c r="P646" s="984"/>
    </row>
    <row r="647" spans="3:16" s="942" customFormat="1" ht="19.5" customHeight="1" x14ac:dyDescent="0.25">
      <c r="C647" s="985"/>
      <c r="D647" s="933" t="s">
        <v>3006</v>
      </c>
      <c r="E647" s="948">
        <f>+E648+E650+E652</f>
        <v>65268836000</v>
      </c>
      <c r="F647" s="940">
        <v>3903473585000</v>
      </c>
      <c r="G647" s="945">
        <f t="shared" si="14"/>
        <v>1.6720706462779868</v>
      </c>
      <c r="H647" s="941"/>
      <c r="I647" s="941"/>
      <c r="J647" s="941"/>
      <c r="K647" s="941"/>
      <c r="L647" s="941"/>
      <c r="M647" s="941"/>
      <c r="N647" s="941"/>
      <c r="O647" s="941"/>
      <c r="P647" s="984"/>
    </row>
    <row r="648" spans="3:16" s="942" customFormat="1" ht="19.5" customHeight="1" x14ac:dyDescent="0.25">
      <c r="C648" s="985"/>
      <c r="D648" s="933" t="s">
        <v>151</v>
      </c>
      <c r="E648" s="946">
        <v>60000000000</v>
      </c>
      <c r="F648" s="940">
        <v>3903473585000</v>
      </c>
      <c r="G648" s="945">
        <f t="shared" si="14"/>
        <v>1.5370925073135855</v>
      </c>
      <c r="H648" s="941"/>
      <c r="I648" s="941"/>
      <c r="J648" s="941"/>
      <c r="K648" s="941"/>
      <c r="L648" s="941"/>
      <c r="M648" s="941"/>
      <c r="N648" s="941"/>
      <c r="O648" s="941"/>
      <c r="P648" s="984"/>
    </row>
    <row r="649" spans="3:16" s="942" customFormat="1" ht="19.5" customHeight="1" x14ac:dyDescent="0.25">
      <c r="C649" s="985"/>
      <c r="D649" s="929" t="s">
        <v>4494</v>
      </c>
      <c r="E649" s="947">
        <v>60000000000</v>
      </c>
      <c r="F649" s="940">
        <v>3903473585000</v>
      </c>
      <c r="G649" s="945">
        <f t="shared" si="14"/>
        <v>1.5370925073135855</v>
      </c>
      <c r="H649" s="941"/>
      <c r="I649" s="941"/>
      <c r="J649" s="941"/>
      <c r="K649" s="941"/>
      <c r="L649" s="941"/>
      <c r="M649" s="941"/>
      <c r="N649" s="941"/>
      <c r="O649" s="941"/>
      <c r="P649" s="984"/>
    </row>
    <row r="650" spans="3:16" s="942" customFormat="1" ht="19.5" customHeight="1" x14ac:dyDescent="0.25">
      <c r="C650" s="985"/>
      <c r="D650" s="933" t="s">
        <v>153</v>
      </c>
      <c r="E650" s="946">
        <v>1500000000</v>
      </c>
      <c r="F650" s="940">
        <v>3903473585000</v>
      </c>
      <c r="G650" s="945">
        <f t="shared" si="14"/>
        <v>3.842731268283963E-2</v>
      </c>
      <c r="H650" s="941"/>
      <c r="I650" s="941"/>
      <c r="J650" s="941"/>
      <c r="K650" s="941"/>
      <c r="L650" s="941"/>
      <c r="M650" s="941"/>
      <c r="N650" s="941"/>
      <c r="O650" s="941"/>
      <c r="P650" s="984"/>
    </row>
    <row r="651" spans="3:16" s="942" customFormat="1" ht="19.5" customHeight="1" x14ac:dyDescent="0.25">
      <c r="C651" s="985"/>
      <c r="D651" s="929" t="s">
        <v>4495</v>
      </c>
      <c r="E651" s="947">
        <v>1500000000</v>
      </c>
      <c r="F651" s="940">
        <v>3903473585000</v>
      </c>
      <c r="G651" s="945">
        <f t="shared" si="14"/>
        <v>3.842731268283963E-2</v>
      </c>
      <c r="H651" s="941"/>
      <c r="I651" s="941"/>
      <c r="J651" s="941"/>
      <c r="K651" s="941"/>
      <c r="L651" s="941"/>
      <c r="M651" s="941"/>
      <c r="N651" s="941"/>
      <c r="O651" s="941"/>
      <c r="P651" s="984"/>
    </row>
    <row r="652" spans="3:16" s="942" customFormat="1" ht="19.5" customHeight="1" x14ac:dyDescent="0.25">
      <c r="C652" s="985"/>
      <c r="D652" s="933" t="s">
        <v>567</v>
      </c>
      <c r="E652" s="946">
        <v>3768836000</v>
      </c>
      <c r="F652" s="940">
        <v>3903473585000</v>
      </c>
      <c r="G652" s="945">
        <f t="shared" si="14"/>
        <v>9.6550826281561739E-2</v>
      </c>
      <c r="H652" s="941"/>
      <c r="I652" s="941"/>
      <c r="J652" s="941"/>
      <c r="K652" s="941"/>
      <c r="L652" s="941"/>
      <c r="M652" s="941"/>
      <c r="N652" s="941"/>
      <c r="O652" s="941"/>
      <c r="P652" s="984"/>
    </row>
    <row r="653" spans="3:16" s="942" customFormat="1" ht="47.25" customHeight="1" x14ac:dyDescent="0.25">
      <c r="C653" s="985"/>
      <c r="D653" s="929" t="s">
        <v>4496</v>
      </c>
      <c r="E653" s="947">
        <v>1118989000</v>
      </c>
      <c r="F653" s="940">
        <v>3903473585000</v>
      </c>
      <c r="G653" s="945">
        <f t="shared" si="14"/>
        <v>2.866649346110536E-2</v>
      </c>
      <c r="H653" s="941"/>
      <c r="I653" s="941"/>
      <c r="J653" s="941"/>
      <c r="K653" s="941"/>
      <c r="L653" s="941"/>
      <c r="M653" s="941"/>
      <c r="N653" s="941"/>
      <c r="O653" s="941"/>
      <c r="P653" s="984"/>
    </row>
    <row r="654" spans="3:16" s="942" customFormat="1" ht="47.25" customHeight="1" x14ac:dyDescent="0.25">
      <c r="C654" s="985"/>
      <c r="D654" s="929" t="s">
        <v>4497</v>
      </c>
      <c r="E654" s="947">
        <v>287772000</v>
      </c>
      <c r="F654" s="940">
        <v>3903473585000</v>
      </c>
      <c r="G654" s="945">
        <f t="shared" si="14"/>
        <v>7.3722030835774183E-3</v>
      </c>
      <c r="H654" s="941"/>
      <c r="I654" s="941"/>
      <c r="J654" s="941"/>
      <c r="K654" s="941"/>
      <c r="L654" s="941"/>
      <c r="M654" s="941"/>
      <c r="N654" s="941"/>
      <c r="O654" s="941"/>
      <c r="P654" s="984"/>
    </row>
    <row r="655" spans="3:16" s="942" customFormat="1" ht="47.25" customHeight="1" x14ac:dyDescent="0.25">
      <c r="C655" s="985"/>
      <c r="D655" s="929" t="s">
        <v>4498</v>
      </c>
      <c r="E655" s="947">
        <v>2064110000</v>
      </c>
      <c r="F655" s="940">
        <v>3903473585000</v>
      </c>
      <c r="G655" s="945">
        <f t="shared" si="14"/>
        <v>5.2878800254517411E-2</v>
      </c>
      <c r="H655" s="941"/>
      <c r="I655" s="941"/>
      <c r="J655" s="941"/>
      <c r="K655" s="941"/>
      <c r="L655" s="941"/>
      <c r="M655" s="941"/>
      <c r="N655" s="941"/>
      <c r="O655" s="941"/>
      <c r="P655" s="984"/>
    </row>
    <row r="656" spans="3:16" s="942" customFormat="1" ht="47.25" customHeight="1" x14ac:dyDescent="0.25">
      <c r="C656" s="985"/>
      <c r="D656" s="929" t="s">
        <v>571</v>
      </c>
      <c r="E656" s="947">
        <v>284965000</v>
      </c>
      <c r="F656" s="940">
        <v>3903473585000</v>
      </c>
      <c r="G656" s="945">
        <f t="shared" si="14"/>
        <v>7.3002927724435968E-3</v>
      </c>
      <c r="H656" s="941"/>
      <c r="I656" s="941"/>
      <c r="J656" s="941"/>
      <c r="K656" s="941"/>
      <c r="L656" s="941"/>
      <c r="M656" s="941"/>
      <c r="N656" s="941"/>
      <c r="O656" s="941"/>
      <c r="P656" s="984"/>
    </row>
    <row r="657" spans="3:16" s="942" customFormat="1" ht="47.25" customHeight="1" x14ac:dyDescent="0.25">
      <c r="C657" s="985"/>
      <c r="D657" s="929" t="s">
        <v>572</v>
      </c>
      <c r="E657" s="947">
        <v>13000000</v>
      </c>
      <c r="F657" s="940">
        <v>3903473585000</v>
      </c>
      <c r="G657" s="945">
        <f t="shared" si="14"/>
        <v>3.3303670991794354E-4</v>
      </c>
      <c r="H657" s="941"/>
      <c r="I657" s="941"/>
      <c r="J657" s="941"/>
      <c r="K657" s="941"/>
      <c r="L657" s="941"/>
      <c r="M657" s="941"/>
      <c r="N657" s="941"/>
      <c r="O657" s="941"/>
      <c r="P657" s="984"/>
    </row>
    <row r="658" spans="3:16" s="942" customFormat="1" ht="19.5" customHeight="1" x14ac:dyDescent="0.25">
      <c r="C658" s="985"/>
      <c r="D658" s="928"/>
      <c r="E658" s="947"/>
      <c r="F658" s="940">
        <v>3903473585000</v>
      </c>
      <c r="G658" s="945">
        <f t="shared" si="14"/>
        <v>0</v>
      </c>
      <c r="H658" s="941"/>
      <c r="I658" s="941"/>
      <c r="J658" s="941"/>
      <c r="K658" s="941"/>
      <c r="L658" s="941"/>
      <c r="M658" s="941"/>
      <c r="N658" s="941"/>
      <c r="O658" s="941"/>
      <c r="P658" s="984"/>
    </row>
    <row r="659" spans="3:16" s="942" customFormat="1" ht="19.5" customHeight="1" x14ac:dyDescent="0.25">
      <c r="C659" s="985"/>
      <c r="D659" s="933" t="s">
        <v>582</v>
      </c>
      <c r="E659" s="948">
        <f>+E660+E672+E682+E685+E688</f>
        <v>250000000000</v>
      </c>
      <c r="F659" s="940">
        <v>3903473585000</v>
      </c>
      <c r="G659" s="945">
        <f t="shared" si="14"/>
        <v>6.4045521138066057</v>
      </c>
      <c r="H659" s="941"/>
      <c r="I659" s="941"/>
      <c r="J659" s="941"/>
      <c r="K659" s="941"/>
      <c r="L659" s="941"/>
      <c r="M659" s="941"/>
      <c r="N659" s="941"/>
      <c r="O659" s="941"/>
      <c r="P659" s="984"/>
    </row>
    <row r="660" spans="3:16" s="942" customFormat="1" ht="19.5" customHeight="1" x14ac:dyDescent="0.25">
      <c r="C660" s="985"/>
      <c r="D660" s="933" t="s">
        <v>227</v>
      </c>
      <c r="E660" s="946">
        <v>10554294625</v>
      </c>
      <c r="F660" s="940">
        <v>3903473585000</v>
      </c>
      <c r="G660" s="945">
        <f t="shared" si="14"/>
        <v>0.27038211980112581</v>
      </c>
      <c r="H660" s="941"/>
      <c r="I660" s="941"/>
      <c r="J660" s="941"/>
      <c r="K660" s="941"/>
      <c r="L660" s="941"/>
      <c r="M660" s="941"/>
      <c r="N660" s="941"/>
      <c r="O660" s="941"/>
      <c r="P660" s="984"/>
    </row>
    <row r="661" spans="3:16" s="942" customFormat="1" ht="19.5" customHeight="1" x14ac:dyDescent="0.25">
      <c r="C661" s="985"/>
      <c r="D661" s="929" t="s">
        <v>4499</v>
      </c>
      <c r="E661" s="947">
        <v>835400000</v>
      </c>
      <c r="F661" s="940">
        <v>3903473585000</v>
      </c>
      <c r="G661" s="945">
        <f t="shared" si="14"/>
        <v>2.1401451343496154E-2</v>
      </c>
      <c r="H661" s="941"/>
      <c r="I661" s="941"/>
      <c r="J661" s="941"/>
      <c r="K661" s="941"/>
      <c r="L661" s="941"/>
      <c r="M661" s="941"/>
      <c r="N661" s="941"/>
      <c r="O661" s="941"/>
      <c r="P661" s="984"/>
    </row>
    <row r="662" spans="3:16" s="942" customFormat="1" ht="19.5" customHeight="1" x14ac:dyDescent="0.25">
      <c r="C662" s="985"/>
      <c r="D662" s="929" t="s">
        <v>228</v>
      </c>
      <c r="E662" s="947">
        <v>804000000</v>
      </c>
      <c r="F662" s="940">
        <v>3903473585000</v>
      </c>
      <c r="G662" s="945">
        <f t="shared" si="14"/>
        <v>2.0597039598002045E-2</v>
      </c>
      <c r="H662" s="941"/>
      <c r="I662" s="941"/>
      <c r="J662" s="941"/>
      <c r="K662" s="941"/>
      <c r="L662" s="941"/>
      <c r="M662" s="941"/>
      <c r="N662" s="941"/>
      <c r="O662" s="941"/>
      <c r="P662" s="984"/>
    </row>
    <row r="663" spans="3:16" s="942" customFormat="1" ht="19.5" customHeight="1" x14ac:dyDescent="0.25">
      <c r="C663" s="985"/>
      <c r="D663" s="929" t="s">
        <v>4500</v>
      </c>
      <c r="E663" s="947">
        <v>32002500</v>
      </c>
      <c r="F663" s="940">
        <v>3903473585000</v>
      </c>
      <c r="G663" s="945">
        <f t="shared" si="14"/>
        <v>8.1984671608838363E-4</v>
      </c>
      <c r="H663" s="941"/>
      <c r="I663" s="941"/>
      <c r="J663" s="941"/>
      <c r="K663" s="941"/>
      <c r="L663" s="941"/>
      <c r="M663" s="941"/>
      <c r="N663" s="941"/>
      <c r="O663" s="941"/>
      <c r="P663" s="984"/>
    </row>
    <row r="664" spans="3:16" s="942" customFormat="1" ht="19.5" customHeight="1" x14ac:dyDescent="0.25">
      <c r="C664" s="985"/>
      <c r="D664" s="929" t="s">
        <v>229</v>
      </c>
      <c r="E664" s="947">
        <v>1415500000</v>
      </c>
      <c r="F664" s="940">
        <v>3903473585000</v>
      </c>
      <c r="G664" s="945">
        <f t="shared" si="14"/>
        <v>3.6262574068373007E-2</v>
      </c>
      <c r="H664" s="941"/>
      <c r="I664" s="941"/>
      <c r="J664" s="941"/>
      <c r="K664" s="941"/>
      <c r="L664" s="941"/>
      <c r="M664" s="941"/>
      <c r="N664" s="941"/>
      <c r="O664" s="941"/>
      <c r="P664" s="984"/>
    </row>
    <row r="665" spans="3:16" s="942" customFormat="1" ht="19.5" customHeight="1" x14ac:dyDescent="0.25">
      <c r="C665" s="985"/>
      <c r="D665" s="929" t="s">
        <v>583</v>
      </c>
      <c r="E665" s="947">
        <v>739792125</v>
      </c>
      <c r="F665" s="940">
        <v>3903473585000</v>
      </c>
      <c r="G665" s="945">
        <f t="shared" si="14"/>
        <v>1.8952148871784924E-2</v>
      </c>
      <c r="H665" s="941"/>
      <c r="I665" s="941"/>
      <c r="J665" s="941"/>
      <c r="K665" s="941"/>
      <c r="L665" s="941"/>
      <c r="M665" s="941"/>
      <c r="N665" s="941"/>
      <c r="O665" s="941"/>
      <c r="P665" s="984"/>
    </row>
    <row r="666" spans="3:16" s="942" customFormat="1" ht="19.5" customHeight="1" x14ac:dyDescent="0.25">
      <c r="C666" s="985"/>
      <c r="D666" s="929" t="s">
        <v>4501</v>
      </c>
      <c r="E666" s="947">
        <v>693750000</v>
      </c>
      <c r="F666" s="940">
        <v>3903473585000</v>
      </c>
      <c r="G666" s="945">
        <f t="shared" si="14"/>
        <v>1.7772632115813331E-2</v>
      </c>
      <c r="H666" s="941"/>
      <c r="I666" s="941"/>
      <c r="J666" s="941"/>
      <c r="K666" s="941"/>
      <c r="L666" s="941"/>
      <c r="M666" s="941"/>
      <c r="N666" s="941"/>
      <c r="O666" s="941"/>
      <c r="P666" s="984"/>
    </row>
    <row r="667" spans="3:16" s="942" customFormat="1" ht="19.5" customHeight="1" x14ac:dyDescent="0.25">
      <c r="C667" s="985"/>
      <c r="D667" s="929" t="s">
        <v>584</v>
      </c>
      <c r="E667" s="947">
        <v>40750000</v>
      </c>
      <c r="F667" s="940">
        <v>3903473585000</v>
      </c>
      <c r="G667" s="945">
        <f t="shared" si="14"/>
        <v>1.0439419945504767E-3</v>
      </c>
      <c r="H667" s="941"/>
      <c r="I667" s="941"/>
      <c r="J667" s="941"/>
      <c r="K667" s="941"/>
      <c r="L667" s="941"/>
      <c r="M667" s="941"/>
      <c r="N667" s="941"/>
      <c r="O667" s="941"/>
      <c r="P667" s="984"/>
    </row>
    <row r="668" spans="3:16" s="942" customFormat="1" ht="19.5" customHeight="1" x14ac:dyDescent="0.25">
      <c r="C668" s="985"/>
      <c r="D668" s="929" t="s">
        <v>585</v>
      </c>
      <c r="E668" s="947">
        <v>500000000</v>
      </c>
      <c r="F668" s="940">
        <v>3903473585000</v>
      </c>
      <c r="G668" s="945">
        <f t="shared" si="14"/>
        <v>1.2809104227613213E-2</v>
      </c>
      <c r="H668" s="941"/>
      <c r="I668" s="941"/>
      <c r="J668" s="941"/>
      <c r="K668" s="941"/>
      <c r="L668" s="941"/>
      <c r="M668" s="941"/>
      <c r="N668" s="941"/>
      <c r="O668" s="941"/>
      <c r="P668" s="984"/>
    </row>
    <row r="669" spans="3:16" s="942" customFormat="1" ht="19.5" customHeight="1" x14ac:dyDescent="0.25">
      <c r="C669" s="985"/>
      <c r="D669" s="929" t="s">
        <v>586</v>
      </c>
      <c r="E669" s="947">
        <v>1512500000</v>
      </c>
      <c r="F669" s="940">
        <v>3903473585000</v>
      </c>
      <c r="G669" s="945">
        <f t="shared" si="14"/>
        <v>3.8747540288529961E-2</v>
      </c>
      <c r="H669" s="941"/>
      <c r="I669" s="941"/>
      <c r="J669" s="941"/>
      <c r="K669" s="941"/>
      <c r="L669" s="941"/>
      <c r="M669" s="941"/>
      <c r="N669" s="941"/>
      <c r="O669" s="941"/>
      <c r="P669" s="984"/>
    </row>
    <row r="670" spans="3:16" s="942" customFormat="1" ht="19.5" customHeight="1" x14ac:dyDescent="0.25">
      <c r="C670" s="985"/>
      <c r="D670" s="929" t="s">
        <v>4502</v>
      </c>
      <c r="E670" s="947">
        <v>2907000000</v>
      </c>
      <c r="F670" s="940">
        <v>3903473585000</v>
      </c>
      <c r="G670" s="945">
        <f t="shared" si="14"/>
        <v>7.4472131979343215E-2</v>
      </c>
      <c r="H670" s="941"/>
      <c r="I670" s="941"/>
      <c r="J670" s="941"/>
      <c r="K670" s="941"/>
      <c r="L670" s="941"/>
      <c r="M670" s="941"/>
      <c r="N670" s="941"/>
      <c r="O670" s="941"/>
      <c r="P670" s="984"/>
    </row>
    <row r="671" spans="3:16" s="942" customFormat="1" ht="19.5" customHeight="1" x14ac:dyDescent="0.25">
      <c r="C671" s="985"/>
      <c r="D671" s="929" t="s">
        <v>587</v>
      </c>
      <c r="E671" s="947">
        <v>1073600000</v>
      </c>
      <c r="F671" s="940">
        <v>3903473585000</v>
      </c>
      <c r="G671" s="945">
        <f t="shared" si="14"/>
        <v>2.7503708597531085E-2</v>
      </c>
      <c r="H671" s="941"/>
      <c r="I671" s="941"/>
      <c r="J671" s="941"/>
      <c r="K671" s="941"/>
      <c r="L671" s="941"/>
      <c r="M671" s="941"/>
      <c r="N671" s="941"/>
      <c r="O671" s="941"/>
      <c r="P671" s="984"/>
    </row>
    <row r="672" spans="3:16" s="942" customFormat="1" ht="19.5" customHeight="1" x14ac:dyDescent="0.25">
      <c r="C672" s="985"/>
      <c r="D672" s="933" t="s">
        <v>151</v>
      </c>
      <c r="E672" s="946">
        <v>34140158100</v>
      </c>
      <c r="F672" s="940">
        <v>3903473585000</v>
      </c>
      <c r="G672" s="945">
        <f t="shared" si="14"/>
        <v>0.87460968690018692</v>
      </c>
      <c r="H672" s="941"/>
      <c r="I672" s="941"/>
      <c r="J672" s="941"/>
      <c r="K672" s="941"/>
      <c r="L672" s="941"/>
      <c r="M672" s="941"/>
      <c r="N672" s="941"/>
      <c r="O672" s="941"/>
      <c r="P672" s="984"/>
    </row>
    <row r="673" spans="3:16" s="942" customFormat="1" ht="19.5" customHeight="1" x14ac:dyDescent="0.25">
      <c r="C673" s="985"/>
      <c r="D673" s="929" t="s">
        <v>4503</v>
      </c>
      <c r="E673" s="947">
        <v>25592347600</v>
      </c>
      <c r="F673" s="940">
        <v>3903473585000</v>
      </c>
      <c r="G673" s="945">
        <f t="shared" si="14"/>
        <v>0.65563009567541375</v>
      </c>
      <c r="H673" s="941"/>
      <c r="I673" s="941"/>
      <c r="J673" s="941"/>
      <c r="K673" s="941"/>
      <c r="L673" s="941"/>
      <c r="M673" s="941"/>
      <c r="N673" s="941"/>
      <c r="O673" s="941"/>
      <c r="P673" s="984"/>
    </row>
    <row r="674" spans="3:16" s="942" customFormat="1" ht="19.5" customHeight="1" x14ac:dyDescent="0.25">
      <c r="C674" s="985"/>
      <c r="D674" s="929" t="s">
        <v>4504</v>
      </c>
      <c r="E674" s="947">
        <v>3500000000</v>
      </c>
      <c r="F674" s="940">
        <v>3903473585000</v>
      </c>
      <c r="G674" s="945">
        <f t="shared" si="14"/>
        <v>8.9663729593292482E-2</v>
      </c>
      <c r="H674" s="941"/>
      <c r="I674" s="941"/>
      <c r="J674" s="941"/>
      <c r="K674" s="941"/>
      <c r="L674" s="941"/>
      <c r="M674" s="941"/>
      <c r="N674" s="941"/>
      <c r="O674" s="941"/>
      <c r="P674" s="984"/>
    </row>
    <row r="675" spans="3:16" s="942" customFormat="1" ht="19.5" customHeight="1" x14ac:dyDescent="0.25">
      <c r="C675" s="985"/>
      <c r="D675" s="929" t="s">
        <v>588</v>
      </c>
      <c r="E675" s="947">
        <v>708030500</v>
      </c>
      <c r="F675" s="940">
        <v>3903473585000</v>
      </c>
      <c r="G675" s="945">
        <f t="shared" si="14"/>
        <v>1.8138472941658192E-2</v>
      </c>
      <c r="H675" s="941"/>
      <c r="I675" s="941"/>
      <c r="J675" s="941"/>
      <c r="K675" s="941"/>
      <c r="L675" s="941"/>
      <c r="M675" s="941"/>
      <c r="N675" s="941"/>
      <c r="O675" s="941"/>
      <c r="P675" s="984"/>
    </row>
    <row r="676" spans="3:16" s="942" customFormat="1" ht="19.5" customHeight="1" x14ac:dyDescent="0.25">
      <c r="C676" s="985"/>
      <c r="D676" s="929" t="s">
        <v>4505</v>
      </c>
      <c r="E676" s="947">
        <v>150000000</v>
      </c>
      <c r="F676" s="940">
        <v>3903473585000</v>
      </c>
      <c r="G676" s="945">
        <f t="shared" si="14"/>
        <v>3.842731268283963E-3</v>
      </c>
      <c r="H676" s="941"/>
      <c r="I676" s="941"/>
      <c r="J676" s="941"/>
      <c r="K676" s="941"/>
      <c r="L676" s="941"/>
      <c r="M676" s="941"/>
      <c r="N676" s="941"/>
      <c r="O676" s="941"/>
      <c r="P676" s="984"/>
    </row>
    <row r="677" spans="3:16" s="942" customFormat="1" ht="19.5" customHeight="1" x14ac:dyDescent="0.25">
      <c r="C677" s="985"/>
      <c r="D677" s="929" t="s">
        <v>4506</v>
      </c>
      <c r="E677" s="947">
        <v>900000000</v>
      </c>
      <c r="F677" s="940">
        <v>3903473585000</v>
      </c>
      <c r="G677" s="945">
        <f t="shared" si="14"/>
        <v>2.3056387609703782E-2</v>
      </c>
      <c r="H677" s="941"/>
      <c r="I677" s="941"/>
      <c r="J677" s="941"/>
      <c r="K677" s="941"/>
      <c r="L677" s="941"/>
      <c r="M677" s="941"/>
      <c r="N677" s="941"/>
      <c r="O677" s="941"/>
      <c r="P677" s="984"/>
    </row>
    <row r="678" spans="3:16" s="942" customFormat="1" ht="19.5" customHeight="1" x14ac:dyDescent="0.25">
      <c r="C678" s="985"/>
      <c r="D678" s="929" t="s">
        <v>590</v>
      </c>
      <c r="E678" s="947">
        <v>450000000</v>
      </c>
      <c r="F678" s="940">
        <v>3903473585000</v>
      </c>
      <c r="G678" s="945">
        <f t="shared" si="14"/>
        <v>1.1528193804851891E-2</v>
      </c>
      <c r="H678" s="941"/>
      <c r="I678" s="941"/>
      <c r="J678" s="941"/>
      <c r="K678" s="941"/>
      <c r="L678" s="941"/>
      <c r="M678" s="941"/>
      <c r="N678" s="941"/>
      <c r="O678" s="941"/>
      <c r="P678" s="984"/>
    </row>
    <row r="679" spans="3:16" s="942" customFormat="1" ht="19.5" customHeight="1" x14ac:dyDescent="0.25">
      <c r="C679" s="985"/>
      <c r="D679" s="929" t="s">
        <v>591</v>
      </c>
      <c r="E679" s="947">
        <v>1839780000</v>
      </c>
      <c r="F679" s="940">
        <v>3903473585000</v>
      </c>
      <c r="G679" s="945">
        <f t="shared" si="14"/>
        <v>4.7131867551756468E-2</v>
      </c>
      <c r="H679" s="941"/>
      <c r="I679" s="941"/>
      <c r="J679" s="941"/>
      <c r="K679" s="941"/>
      <c r="L679" s="941"/>
      <c r="M679" s="941"/>
      <c r="N679" s="941"/>
      <c r="O679" s="941"/>
      <c r="P679" s="984"/>
    </row>
    <row r="680" spans="3:16" s="942" customFormat="1" ht="19.5" customHeight="1" x14ac:dyDescent="0.25">
      <c r="C680" s="985"/>
      <c r="D680" s="929" t="s">
        <v>4507</v>
      </c>
      <c r="E680" s="947">
        <v>750000000</v>
      </c>
      <c r="F680" s="940">
        <v>3903473585000</v>
      </c>
      <c r="G680" s="945">
        <f t="shared" si="14"/>
        <v>1.9213656341419815E-2</v>
      </c>
      <c r="H680" s="941"/>
      <c r="I680" s="941"/>
      <c r="J680" s="941"/>
      <c r="K680" s="941"/>
      <c r="L680" s="941"/>
      <c r="M680" s="941"/>
      <c r="N680" s="941"/>
      <c r="O680" s="941"/>
      <c r="P680" s="984"/>
    </row>
    <row r="681" spans="3:16" s="942" customFormat="1" ht="19.5" customHeight="1" x14ac:dyDescent="0.25">
      <c r="C681" s="985"/>
      <c r="D681" s="929" t="s">
        <v>4508</v>
      </c>
      <c r="E681" s="947">
        <v>250000000</v>
      </c>
      <c r="F681" s="940">
        <v>3903473585000</v>
      </c>
      <c r="G681" s="945">
        <f t="shared" si="14"/>
        <v>6.4045521138066065E-3</v>
      </c>
      <c r="H681" s="941"/>
      <c r="I681" s="941"/>
      <c r="J681" s="941"/>
      <c r="K681" s="941"/>
      <c r="L681" s="941"/>
      <c r="M681" s="941"/>
      <c r="N681" s="941"/>
      <c r="O681" s="941"/>
      <c r="P681" s="984"/>
    </row>
    <row r="682" spans="3:16" s="942" customFormat="1" ht="19.5" customHeight="1" x14ac:dyDescent="0.25">
      <c r="C682" s="985"/>
      <c r="D682" s="933" t="s">
        <v>593</v>
      </c>
      <c r="E682" s="946">
        <v>1151000000</v>
      </c>
      <c r="F682" s="940">
        <v>3903473585000</v>
      </c>
      <c r="G682" s="945">
        <f t="shared" si="14"/>
        <v>2.9486557931965616E-2</v>
      </c>
      <c r="H682" s="941"/>
      <c r="I682" s="941"/>
      <c r="J682" s="941"/>
      <c r="K682" s="941"/>
      <c r="L682" s="941"/>
      <c r="M682" s="941"/>
      <c r="N682" s="941"/>
      <c r="O682" s="941"/>
      <c r="P682" s="984"/>
    </row>
    <row r="683" spans="3:16" s="942" customFormat="1" ht="19.5" customHeight="1" x14ac:dyDescent="0.25">
      <c r="C683" s="985"/>
      <c r="D683" s="929" t="s">
        <v>594</v>
      </c>
      <c r="E683" s="947">
        <v>629000000</v>
      </c>
      <c r="F683" s="940">
        <v>3903473585000</v>
      </c>
      <c r="G683" s="945">
        <f t="shared" si="14"/>
        <v>1.6113853118337421E-2</v>
      </c>
      <c r="H683" s="941"/>
      <c r="I683" s="941"/>
      <c r="J683" s="941"/>
      <c r="K683" s="941"/>
      <c r="L683" s="941"/>
      <c r="M683" s="941"/>
      <c r="N683" s="941"/>
      <c r="O683" s="941"/>
      <c r="P683" s="984"/>
    </row>
    <row r="684" spans="3:16" s="942" customFormat="1" ht="19.5" customHeight="1" x14ac:dyDescent="0.25">
      <c r="C684" s="985"/>
      <c r="D684" s="929" t="s">
        <v>595</v>
      </c>
      <c r="E684" s="947">
        <v>522000000</v>
      </c>
      <c r="F684" s="940">
        <v>3903473585000</v>
      </c>
      <c r="G684" s="945">
        <f t="shared" si="14"/>
        <v>1.3372704813628192E-2</v>
      </c>
      <c r="H684" s="941"/>
      <c r="I684" s="941"/>
      <c r="J684" s="941"/>
      <c r="K684" s="941"/>
      <c r="L684" s="941"/>
      <c r="M684" s="941"/>
      <c r="N684" s="941"/>
      <c r="O684" s="941"/>
      <c r="P684" s="984"/>
    </row>
    <row r="685" spans="3:16" s="942" customFormat="1" ht="19.5" customHeight="1" x14ac:dyDescent="0.25">
      <c r="C685" s="985"/>
      <c r="D685" s="933" t="s">
        <v>153</v>
      </c>
      <c r="E685" s="946">
        <v>8112347275</v>
      </c>
      <c r="F685" s="940">
        <v>3903473585000</v>
      </c>
      <c r="G685" s="945">
        <f t="shared" si="14"/>
        <v>0.20782380355213806</v>
      </c>
      <c r="H685" s="941"/>
      <c r="I685" s="941"/>
      <c r="J685" s="941"/>
      <c r="K685" s="941"/>
      <c r="L685" s="941"/>
      <c r="M685" s="941"/>
      <c r="N685" s="941"/>
      <c r="O685" s="941"/>
      <c r="P685" s="984"/>
    </row>
    <row r="686" spans="3:16" s="942" customFormat="1" ht="19.5" customHeight="1" x14ac:dyDescent="0.25">
      <c r="C686" s="985"/>
      <c r="D686" s="929" t="s">
        <v>154</v>
      </c>
      <c r="E686" s="947">
        <v>505000000</v>
      </c>
      <c r="F686" s="940">
        <v>3903473585000</v>
      </c>
      <c r="G686" s="945">
        <f t="shared" si="14"/>
        <v>1.2937195269889344E-2</v>
      </c>
      <c r="H686" s="941"/>
      <c r="I686" s="941"/>
      <c r="J686" s="941"/>
      <c r="K686" s="941"/>
      <c r="L686" s="941"/>
      <c r="M686" s="941"/>
      <c r="N686" s="941"/>
      <c r="O686" s="941"/>
      <c r="P686" s="984"/>
    </row>
    <row r="687" spans="3:16" s="942" customFormat="1" ht="19.5" customHeight="1" x14ac:dyDescent="0.25">
      <c r="C687" s="985"/>
      <c r="D687" s="929" t="s">
        <v>155</v>
      </c>
      <c r="E687" s="947">
        <v>7607347275</v>
      </c>
      <c r="F687" s="940">
        <v>3903473585000</v>
      </c>
      <c r="G687" s="945">
        <f t="shared" si="14"/>
        <v>0.19488660828224869</v>
      </c>
      <c r="H687" s="941"/>
      <c r="I687" s="941"/>
      <c r="J687" s="941"/>
      <c r="K687" s="941"/>
      <c r="L687" s="941"/>
      <c r="M687" s="941"/>
      <c r="N687" s="941"/>
      <c r="O687" s="941"/>
      <c r="P687" s="984"/>
    </row>
    <row r="688" spans="3:16" s="942" customFormat="1" ht="19.5" customHeight="1" x14ac:dyDescent="0.25">
      <c r="C688" s="985"/>
      <c r="D688" s="933" t="s">
        <v>596</v>
      </c>
      <c r="E688" s="946">
        <v>196042200000</v>
      </c>
      <c r="F688" s="940">
        <v>3903473585000</v>
      </c>
      <c r="G688" s="945">
        <f t="shared" si="14"/>
        <v>5.0222499456211898</v>
      </c>
      <c r="H688" s="941"/>
      <c r="I688" s="941"/>
      <c r="J688" s="941"/>
      <c r="K688" s="941"/>
      <c r="L688" s="941"/>
      <c r="M688" s="941"/>
      <c r="N688" s="941"/>
      <c r="O688" s="941"/>
      <c r="P688" s="984"/>
    </row>
    <row r="689" spans="3:16" s="942" customFormat="1" ht="19.5" customHeight="1" x14ac:dyDescent="0.25">
      <c r="C689" s="985"/>
      <c r="D689" s="929" t="s">
        <v>597</v>
      </c>
      <c r="E689" s="947">
        <v>18572000000</v>
      </c>
      <c r="F689" s="940">
        <v>3903473585000</v>
      </c>
      <c r="G689" s="945">
        <f t="shared" si="14"/>
        <v>0.47578136743046517</v>
      </c>
      <c r="H689" s="941"/>
      <c r="I689" s="941"/>
      <c r="J689" s="941"/>
      <c r="K689" s="941"/>
      <c r="L689" s="941"/>
      <c r="M689" s="941"/>
      <c r="N689" s="941"/>
      <c r="O689" s="941"/>
      <c r="P689" s="984"/>
    </row>
    <row r="690" spans="3:16" s="942" customFormat="1" ht="19.5" customHeight="1" x14ac:dyDescent="0.25">
      <c r="C690" s="985"/>
      <c r="D690" s="929" t="s">
        <v>598</v>
      </c>
      <c r="E690" s="947">
        <v>10900000000</v>
      </c>
      <c r="F690" s="940">
        <v>3903473585000</v>
      </c>
      <c r="G690" s="945">
        <f t="shared" si="14"/>
        <v>0.27923847216196801</v>
      </c>
      <c r="H690" s="941"/>
      <c r="I690" s="941"/>
      <c r="J690" s="941"/>
      <c r="K690" s="941"/>
      <c r="L690" s="941"/>
      <c r="M690" s="941"/>
      <c r="N690" s="941"/>
      <c r="O690" s="941"/>
      <c r="P690" s="984"/>
    </row>
    <row r="691" spans="3:16" s="942" customFormat="1" ht="19.5" customHeight="1" x14ac:dyDescent="0.25">
      <c r="C691" s="985"/>
      <c r="D691" s="929" t="s">
        <v>599</v>
      </c>
      <c r="E691" s="947">
        <v>7659000000</v>
      </c>
      <c r="F691" s="940">
        <v>3903473585000</v>
      </c>
      <c r="G691" s="945">
        <f t="shared" si="14"/>
        <v>0.1962098585585792</v>
      </c>
      <c r="H691" s="941"/>
      <c r="I691" s="941"/>
      <c r="J691" s="941"/>
      <c r="K691" s="941"/>
      <c r="L691" s="941"/>
      <c r="M691" s="941"/>
      <c r="N691" s="941"/>
      <c r="O691" s="941"/>
      <c r="P691" s="984"/>
    </row>
    <row r="692" spans="3:16" s="942" customFormat="1" ht="19.5" customHeight="1" x14ac:dyDescent="0.25">
      <c r="C692" s="985"/>
      <c r="D692" s="929" t="s">
        <v>600</v>
      </c>
      <c r="E692" s="947">
        <v>29339200000</v>
      </c>
      <c r="F692" s="940">
        <v>3903473585000</v>
      </c>
      <c r="G692" s="945">
        <f t="shared" si="14"/>
        <v>0.75161774150957905</v>
      </c>
      <c r="H692" s="941"/>
      <c r="I692" s="941"/>
      <c r="J692" s="941"/>
      <c r="K692" s="941"/>
      <c r="L692" s="941"/>
      <c r="M692" s="941"/>
      <c r="N692" s="941"/>
      <c r="O692" s="941"/>
      <c r="P692" s="984"/>
    </row>
    <row r="693" spans="3:16" s="942" customFormat="1" ht="34.5" customHeight="1" x14ac:dyDescent="0.25">
      <c r="C693" s="985"/>
      <c r="D693" s="929" t="s">
        <v>601</v>
      </c>
      <c r="E693" s="947">
        <v>33480000000</v>
      </c>
      <c r="F693" s="940">
        <v>3903473585000</v>
      </c>
      <c r="G693" s="945">
        <f t="shared" si="14"/>
        <v>0.85769761908098074</v>
      </c>
      <c r="H693" s="941"/>
      <c r="I693" s="941"/>
      <c r="J693" s="941"/>
      <c r="K693" s="941"/>
      <c r="L693" s="941"/>
      <c r="M693" s="941"/>
      <c r="N693" s="941"/>
      <c r="O693" s="941"/>
      <c r="P693" s="984"/>
    </row>
    <row r="694" spans="3:16" s="942" customFormat="1" ht="19.5" customHeight="1" x14ac:dyDescent="0.25">
      <c r="C694" s="985"/>
      <c r="D694" s="929" t="s">
        <v>602</v>
      </c>
      <c r="E694" s="947">
        <v>62956000000</v>
      </c>
      <c r="F694" s="940">
        <v>3903473585000</v>
      </c>
      <c r="G694" s="945">
        <f t="shared" ref="G694:G713" si="15">+E694/F694*100</f>
        <v>1.6128199315072347</v>
      </c>
      <c r="H694" s="941"/>
      <c r="I694" s="941"/>
      <c r="J694" s="941"/>
      <c r="K694" s="941"/>
      <c r="L694" s="941"/>
      <c r="M694" s="941"/>
      <c r="N694" s="941"/>
      <c r="O694" s="941"/>
      <c r="P694" s="984"/>
    </row>
    <row r="695" spans="3:16" s="942" customFormat="1" ht="19.5" customHeight="1" x14ac:dyDescent="0.25">
      <c r="C695" s="985"/>
      <c r="D695" s="929" t="s">
        <v>603</v>
      </c>
      <c r="E695" s="947">
        <v>10450000000</v>
      </c>
      <c r="F695" s="940">
        <v>3903473585000</v>
      </c>
      <c r="G695" s="945">
        <f t="shared" si="15"/>
        <v>0.26771027835711614</v>
      </c>
      <c r="H695" s="941"/>
      <c r="I695" s="941"/>
      <c r="J695" s="941"/>
      <c r="K695" s="941"/>
      <c r="L695" s="941"/>
      <c r="M695" s="941"/>
      <c r="N695" s="941"/>
      <c r="O695" s="941"/>
      <c r="P695" s="984"/>
    </row>
    <row r="696" spans="3:16" s="942" customFormat="1" ht="19.5" customHeight="1" x14ac:dyDescent="0.25">
      <c r="C696" s="985"/>
      <c r="D696" s="929" t="s">
        <v>604</v>
      </c>
      <c r="E696" s="947">
        <v>4956000000</v>
      </c>
      <c r="F696" s="940">
        <v>3903473585000</v>
      </c>
      <c r="G696" s="945">
        <f t="shared" si="15"/>
        <v>0.12696384110410217</v>
      </c>
      <c r="H696" s="941"/>
      <c r="I696" s="941"/>
      <c r="J696" s="941"/>
      <c r="K696" s="941"/>
      <c r="L696" s="941"/>
      <c r="M696" s="941"/>
      <c r="N696" s="941"/>
      <c r="O696" s="941"/>
      <c r="P696" s="984"/>
    </row>
    <row r="697" spans="3:16" s="942" customFormat="1" ht="19.5" customHeight="1" x14ac:dyDescent="0.25">
      <c r="C697" s="985"/>
      <c r="D697" s="929" t="s">
        <v>605</v>
      </c>
      <c r="E697" s="947">
        <v>8730000000</v>
      </c>
      <c r="F697" s="940">
        <v>3903473585000</v>
      </c>
      <c r="G697" s="945">
        <f t="shared" si="15"/>
        <v>0.22364695981412666</v>
      </c>
      <c r="H697" s="941"/>
      <c r="I697" s="941"/>
      <c r="J697" s="941"/>
      <c r="K697" s="941"/>
      <c r="L697" s="941"/>
      <c r="M697" s="941"/>
      <c r="N697" s="941"/>
      <c r="O697" s="941"/>
      <c r="P697" s="984"/>
    </row>
    <row r="698" spans="3:16" s="942" customFormat="1" ht="19.5" customHeight="1" x14ac:dyDescent="0.25">
      <c r="C698" s="985"/>
      <c r="D698" s="929" t="s">
        <v>606</v>
      </c>
      <c r="E698" s="947">
        <v>9000000000</v>
      </c>
      <c r="F698" s="940">
        <v>3903473585000</v>
      </c>
      <c r="G698" s="945">
        <f t="shared" si="15"/>
        <v>0.23056387609703782</v>
      </c>
      <c r="H698" s="941"/>
      <c r="I698" s="941"/>
      <c r="J698" s="941"/>
      <c r="K698" s="941"/>
      <c r="L698" s="941"/>
      <c r="M698" s="941"/>
      <c r="N698" s="941"/>
      <c r="O698" s="941"/>
      <c r="P698" s="984"/>
    </row>
    <row r="699" spans="3:16" s="942" customFormat="1" ht="19.5" customHeight="1" x14ac:dyDescent="0.25">
      <c r="C699" s="985"/>
      <c r="D699" s="928"/>
      <c r="E699" s="947"/>
      <c r="F699" s="940">
        <v>3903473585000</v>
      </c>
      <c r="G699" s="945">
        <f t="shared" si="15"/>
        <v>0</v>
      </c>
      <c r="H699" s="941"/>
      <c r="I699" s="941"/>
      <c r="J699" s="941"/>
      <c r="K699" s="941"/>
      <c r="L699" s="941"/>
      <c r="M699" s="941"/>
      <c r="N699" s="941"/>
      <c r="O699" s="941"/>
      <c r="P699" s="984"/>
    </row>
    <row r="700" spans="3:16" s="942" customFormat="1" ht="19.5" customHeight="1" x14ac:dyDescent="0.25">
      <c r="C700" s="985"/>
      <c r="D700" s="933" t="s">
        <v>630</v>
      </c>
      <c r="E700" s="948">
        <f>+E701+E703+E706</f>
        <v>9500000000</v>
      </c>
      <c r="F700" s="940">
        <v>3903473585000</v>
      </c>
      <c r="G700" s="945">
        <f t="shared" si="15"/>
        <v>0.24337298032465104</v>
      </c>
      <c r="H700" s="941"/>
      <c r="I700" s="941"/>
      <c r="J700" s="941"/>
      <c r="K700" s="941"/>
      <c r="L700" s="941"/>
      <c r="M700" s="941"/>
      <c r="N700" s="941"/>
      <c r="O700" s="941"/>
      <c r="P700" s="984"/>
    </row>
    <row r="701" spans="3:16" s="942" customFormat="1" ht="19.5" customHeight="1" x14ac:dyDescent="0.25">
      <c r="C701" s="985"/>
      <c r="D701" s="933" t="s">
        <v>330</v>
      </c>
      <c r="E701" s="946">
        <f>+E702</f>
        <v>500000000</v>
      </c>
      <c r="F701" s="940">
        <v>3903473585000</v>
      </c>
      <c r="G701" s="945">
        <f t="shared" si="15"/>
        <v>1.2809104227613213E-2</v>
      </c>
      <c r="H701" s="941"/>
      <c r="I701" s="941"/>
      <c r="J701" s="941"/>
      <c r="K701" s="941"/>
      <c r="L701" s="941"/>
      <c r="M701" s="941"/>
      <c r="N701" s="941"/>
      <c r="O701" s="941"/>
      <c r="P701" s="984"/>
    </row>
    <row r="702" spans="3:16" s="942" customFormat="1" ht="19.5" customHeight="1" x14ac:dyDescent="0.25">
      <c r="C702" s="985"/>
      <c r="D702" s="929" t="s">
        <v>4509</v>
      </c>
      <c r="E702" s="947">
        <v>500000000</v>
      </c>
      <c r="F702" s="940">
        <v>3903473585000</v>
      </c>
      <c r="G702" s="945">
        <f t="shared" si="15"/>
        <v>1.2809104227613213E-2</v>
      </c>
      <c r="H702" s="941"/>
      <c r="I702" s="941"/>
      <c r="J702" s="941"/>
      <c r="K702" s="941"/>
      <c r="L702" s="941"/>
      <c r="M702" s="941"/>
      <c r="N702" s="941"/>
      <c r="O702" s="941"/>
      <c r="P702" s="984"/>
    </row>
    <row r="703" spans="3:16" s="942" customFormat="1" ht="19.5" customHeight="1" x14ac:dyDescent="0.25">
      <c r="C703" s="985"/>
      <c r="D703" s="933" t="s">
        <v>4380</v>
      </c>
      <c r="E703" s="946">
        <f>+E704+E705</f>
        <v>8000000000</v>
      </c>
      <c r="F703" s="940">
        <v>3903473585000</v>
      </c>
      <c r="G703" s="945">
        <f t="shared" si="15"/>
        <v>0.20494566764181141</v>
      </c>
      <c r="H703" s="941"/>
      <c r="I703" s="941"/>
      <c r="J703" s="941"/>
      <c r="K703" s="941"/>
      <c r="L703" s="941"/>
      <c r="M703" s="941"/>
      <c r="N703" s="941"/>
      <c r="O703" s="941"/>
      <c r="P703" s="984"/>
    </row>
    <row r="704" spans="3:16" s="942" customFormat="1" ht="33.75" customHeight="1" x14ac:dyDescent="0.25">
      <c r="C704" s="985"/>
      <c r="D704" s="929" t="s">
        <v>4510</v>
      </c>
      <c r="E704" s="947">
        <v>7000000000</v>
      </c>
      <c r="F704" s="940">
        <v>3903473585000</v>
      </c>
      <c r="G704" s="945">
        <f t="shared" si="15"/>
        <v>0.17932745918658496</v>
      </c>
      <c r="H704" s="941"/>
      <c r="I704" s="941"/>
      <c r="J704" s="941"/>
      <c r="K704" s="941"/>
      <c r="L704" s="941"/>
      <c r="M704" s="941"/>
      <c r="N704" s="941"/>
      <c r="O704" s="941"/>
      <c r="P704" s="984"/>
    </row>
    <row r="705" spans="3:16" s="942" customFormat="1" ht="19.5" customHeight="1" x14ac:dyDescent="0.25">
      <c r="C705" s="985"/>
      <c r="D705" s="929" t="s">
        <v>4511</v>
      </c>
      <c r="E705" s="947">
        <v>1000000000</v>
      </c>
      <c r="F705" s="940">
        <v>3903473585000</v>
      </c>
      <c r="G705" s="945">
        <f t="shared" si="15"/>
        <v>2.5618208455226426E-2</v>
      </c>
      <c r="H705" s="941"/>
      <c r="I705" s="941"/>
      <c r="J705" s="941"/>
      <c r="K705" s="941"/>
      <c r="L705" s="941"/>
      <c r="M705" s="941"/>
      <c r="N705" s="941"/>
      <c r="O705" s="941"/>
      <c r="P705" s="984"/>
    </row>
    <row r="706" spans="3:16" s="942" customFormat="1" ht="19.5" customHeight="1" x14ac:dyDescent="0.25">
      <c r="C706" s="985"/>
      <c r="D706" s="933" t="s">
        <v>4512</v>
      </c>
      <c r="E706" s="946">
        <f>+E707</f>
        <v>1000000000</v>
      </c>
      <c r="F706" s="940">
        <v>3903473585000</v>
      </c>
      <c r="G706" s="945">
        <f t="shared" si="15"/>
        <v>2.5618208455226426E-2</v>
      </c>
      <c r="H706" s="941"/>
      <c r="I706" s="941"/>
      <c r="J706" s="941"/>
      <c r="K706" s="941"/>
      <c r="L706" s="941"/>
      <c r="M706" s="941"/>
      <c r="N706" s="941"/>
      <c r="O706" s="941"/>
      <c r="P706" s="984"/>
    </row>
    <row r="707" spans="3:16" s="942" customFormat="1" ht="19.5" customHeight="1" x14ac:dyDescent="0.25">
      <c r="C707" s="985"/>
      <c r="D707" s="929" t="s">
        <v>4513</v>
      </c>
      <c r="E707" s="947">
        <v>1000000000</v>
      </c>
      <c r="F707" s="940">
        <v>3903473585000</v>
      </c>
      <c r="G707" s="945">
        <f t="shared" si="15"/>
        <v>2.5618208455226426E-2</v>
      </c>
      <c r="H707" s="941"/>
      <c r="I707" s="941"/>
      <c r="J707" s="941"/>
      <c r="K707" s="941"/>
      <c r="L707" s="941"/>
      <c r="M707" s="941"/>
      <c r="N707" s="941"/>
      <c r="O707" s="941"/>
      <c r="P707" s="984"/>
    </row>
    <row r="708" spans="3:16" s="942" customFormat="1" ht="19.5" customHeight="1" x14ac:dyDescent="0.25">
      <c r="C708" s="985"/>
      <c r="D708" s="928" t="s">
        <v>4372</v>
      </c>
      <c r="E708" s="947"/>
      <c r="F708" s="940">
        <v>3903473585000</v>
      </c>
      <c r="G708" s="945"/>
      <c r="H708" s="941"/>
      <c r="I708" s="941"/>
      <c r="J708" s="941"/>
      <c r="K708" s="941"/>
      <c r="L708" s="941"/>
      <c r="M708" s="941"/>
      <c r="N708" s="941"/>
      <c r="O708" s="941"/>
      <c r="P708" s="984"/>
    </row>
    <row r="709" spans="3:16" s="942" customFormat="1" ht="19.5" customHeight="1" x14ac:dyDescent="0.25">
      <c r="C709" s="985"/>
      <c r="D709" s="933" t="s">
        <v>642</v>
      </c>
      <c r="E709" s="948">
        <f>+E710</f>
        <v>1129203534590</v>
      </c>
      <c r="F709" s="940">
        <v>3903473585000</v>
      </c>
      <c r="G709" s="945">
        <f>+E709/F710*100</f>
        <v>28.928171537505104</v>
      </c>
      <c r="H709" s="941"/>
      <c r="I709" s="941"/>
      <c r="J709" s="941"/>
      <c r="K709" s="941"/>
      <c r="L709" s="941"/>
      <c r="M709" s="941"/>
      <c r="N709" s="941"/>
      <c r="O709" s="941"/>
      <c r="P709" s="984"/>
    </row>
    <row r="710" spans="3:16" s="942" customFormat="1" ht="26.25" customHeight="1" x14ac:dyDescent="0.25">
      <c r="C710" s="985"/>
      <c r="D710" s="933" t="s">
        <v>580</v>
      </c>
      <c r="E710" s="946">
        <f>+E711</f>
        <v>1129203534590</v>
      </c>
      <c r="F710" s="940">
        <v>3903473585000</v>
      </c>
      <c r="G710" s="945">
        <f t="shared" si="15"/>
        <v>28.928171537505104</v>
      </c>
      <c r="H710" s="941"/>
      <c r="I710" s="941"/>
      <c r="J710" s="941"/>
      <c r="K710" s="941"/>
      <c r="L710" s="941"/>
      <c r="M710" s="941"/>
      <c r="N710" s="941"/>
      <c r="O710" s="941"/>
      <c r="P710" s="984"/>
    </row>
    <row r="711" spans="3:16" s="942" customFormat="1" ht="19.5" customHeight="1" x14ac:dyDescent="0.25">
      <c r="C711" s="864"/>
      <c r="D711" s="1000" t="s">
        <v>2693</v>
      </c>
      <c r="E711" s="1001">
        <f>+E712</f>
        <v>1129203534590</v>
      </c>
      <c r="F711" s="940">
        <v>3903473585000</v>
      </c>
      <c r="G711" s="974">
        <f t="shared" si="15"/>
        <v>28.928171537505104</v>
      </c>
      <c r="H711" s="975"/>
      <c r="I711" s="975"/>
      <c r="J711" s="975"/>
      <c r="K711" s="975"/>
      <c r="L711" s="975"/>
      <c r="M711" s="975"/>
      <c r="N711" s="975"/>
      <c r="O711" s="975"/>
      <c r="P711" s="988"/>
    </row>
    <row r="712" spans="3:16" s="942" customFormat="1" ht="19.5" customHeight="1" x14ac:dyDescent="0.25">
      <c r="C712" s="985"/>
      <c r="D712" s="1002" t="s">
        <v>4281</v>
      </c>
      <c r="E712" s="1003">
        <v>1129203534590</v>
      </c>
      <c r="F712" s="940">
        <v>3903473585000</v>
      </c>
      <c r="G712" s="945">
        <f t="shared" si="15"/>
        <v>28.928171537505104</v>
      </c>
      <c r="H712" s="941"/>
      <c r="I712" s="941"/>
      <c r="J712" s="941"/>
      <c r="K712" s="941"/>
      <c r="L712" s="941"/>
      <c r="M712" s="941"/>
      <c r="N712" s="941"/>
      <c r="O712" s="941"/>
      <c r="P712" s="984"/>
    </row>
    <row r="713" spans="3:16" s="942" customFormat="1" ht="19.5" customHeight="1" x14ac:dyDescent="0.25">
      <c r="C713" s="1004" t="s">
        <v>3985</v>
      </c>
      <c r="D713" s="1008" t="s">
        <v>4520</v>
      </c>
      <c r="E713" s="1007">
        <v>42000000000</v>
      </c>
      <c r="F713" s="940">
        <v>3903473585000</v>
      </c>
      <c r="G713" s="945">
        <f t="shared" si="15"/>
        <v>1.0759647551195097</v>
      </c>
      <c r="H713" s="1005"/>
      <c r="I713" s="1005"/>
      <c r="J713" s="1005"/>
      <c r="K713" s="1005"/>
      <c r="L713" s="1005"/>
      <c r="M713" s="1005"/>
      <c r="N713" s="1005"/>
      <c r="O713" s="1005"/>
      <c r="P713" s="1006"/>
    </row>
    <row r="714" spans="3:16" s="951" customFormat="1" ht="34.5" customHeight="1" x14ac:dyDescent="0.25">
      <c r="C714" s="912"/>
      <c r="D714" s="989" t="s">
        <v>69</v>
      </c>
      <c r="E714" s="990">
        <f>+E15+E343+E373</f>
        <v>5850230158000</v>
      </c>
      <c r="F714" s="1026">
        <f>+E714</f>
        <v>5850230158000</v>
      </c>
      <c r="G714" s="991">
        <f>+F714/E714*100</f>
        <v>100</v>
      </c>
      <c r="H714" s="992"/>
      <c r="I714" s="992"/>
      <c r="J714" s="992"/>
      <c r="K714" s="992"/>
      <c r="L714" s="992"/>
      <c r="M714" s="992"/>
      <c r="N714" s="992"/>
      <c r="O714" s="992"/>
      <c r="P714" s="993"/>
    </row>
    <row r="717" spans="3:16" x14ac:dyDescent="0.25">
      <c r="E717" s="998"/>
      <c r="F717" s="908"/>
    </row>
    <row r="718" spans="3:16" ht="29.25" customHeight="1" x14ac:dyDescent="0.25">
      <c r="D718" s="971"/>
      <c r="E718" s="649"/>
      <c r="F718" s="1027"/>
      <c r="G718" s="572"/>
      <c r="H718" s="572"/>
      <c r="I718" s="572"/>
    </row>
    <row r="719" spans="3:16" x14ac:dyDescent="0.25">
      <c r="E719" s="999"/>
      <c r="F719" s="999"/>
    </row>
    <row r="720" spans="3:16" x14ac:dyDescent="0.25">
      <c r="E720" s="906"/>
      <c r="F720" s="908"/>
    </row>
    <row r="721" spans="4:6" x14ac:dyDescent="0.25">
      <c r="E721" s="906"/>
      <c r="F721" s="908"/>
    </row>
    <row r="722" spans="4:6" x14ac:dyDescent="0.25">
      <c r="D722" s="972"/>
      <c r="E722" s="954"/>
      <c r="F722" s="908"/>
    </row>
    <row r="723" spans="4:6" x14ac:dyDescent="0.25">
      <c r="E723" s="906"/>
      <c r="F723" s="908"/>
    </row>
    <row r="724" spans="4:6" x14ac:dyDescent="0.25">
      <c r="D724" s="955"/>
      <c r="E724" s="954"/>
    </row>
  </sheetData>
  <mergeCells count="11">
    <mergeCell ref="P10:P11"/>
    <mergeCell ref="C2:P2"/>
    <mergeCell ref="C3:P3"/>
    <mergeCell ref="C4:P4"/>
    <mergeCell ref="C5:P5"/>
    <mergeCell ref="P7:P8"/>
    <mergeCell ref="C10:C11"/>
    <mergeCell ref="D10:D11"/>
    <mergeCell ref="E10:G10"/>
    <mergeCell ref="H10:K10"/>
    <mergeCell ref="L10:O10"/>
  </mergeCells>
  <printOptions horizontalCentered="1"/>
  <pageMargins left="0.39370078740157483" right="0" top="0.55118110236220474" bottom="0.35433070866141736" header="0.31496062992125984" footer="0.31496062992125984"/>
  <pageSetup paperSize="258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4"/>
  <sheetViews>
    <sheetView view="pageBreakPreview" topLeftCell="A1319" zoomScaleNormal="115" zoomScaleSheetLayoutView="100" workbookViewId="0">
      <selection activeCell="F1291" sqref="F1291"/>
    </sheetView>
  </sheetViews>
  <sheetFormatPr defaultColWidth="8.85546875" defaultRowHeight="12.75" x14ac:dyDescent="0.25"/>
  <cols>
    <col min="1" max="1" width="8" style="87" customWidth="1"/>
    <col min="2" max="2" width="83.7109375" style="80" customWidth="1"/>
    <col min="3" max="3" width="16.7109375" style="80" customWidth="1"/>
    <col min="4" max="4" width="18" style="570" customWidth="1"/>
    <col min="5" max="5" width="8.140625" style="173" customWidth="1"/>
    <col min="6" max="6" width="8.28515625" style="173" customWidth="1"/>
    <col min="7" max="7" width="10.42578125" style="80" customWidth="1"/>
    <col min="8" max="8" width="3.42578125" style="80" customWidth="1"/>
    <col min="9" max="9" width="34.7109375" style="80" customWidth="1"/>
    <col min="10" max="16384" width="8.85546875" style="80"/>
  </cols>
  <sheetData>
    <row r="1" spans="1:30" x14ac:dyDescent="0.25">
      <c r="A1" s="651"/>
      <c r="B1" s="76"/>
      <c r="C1" s="76"/>
      <c r="D1" s="773"/>
      <c r="E1" s="79"/>
      <c r="F1" s="79"/>
      <c r="G1" s="76"/>
    </row>
    <row r="2" spans="1:30" ht="15.75" x14ac:dyDescent="0.25">
      <c r="A2" s="1338" t="s">
        <v>3991</v>
      </c>
      <c r="B2" s="1338"/>
      <c r="C2" s="1338"/>
      <c r="D2" s="1338"/>
      <c r="E2" s="1338"/>
      <c r="F2" s="1338"/>
      <c r="G2" s="1338"/>
    </row>
    <row r="3" spans="1:30" s="142" customFormat="1" ht="15.75" x14ac:dyDescent="0.25">
      <c r="A3" s="1338" t="s">
        <v>3992</v>
      </c>
      <c r="B3" s="1338"/>
      <c r="C3" s="1338"/>
      <c r="D3" s="1338"/>
      <c r="E3" s="1338"/>
      <c r="F3" s="1338"/>
      <c r="G3" s="1338"/>
    </row>
    <row r="4" spans="1:30" ht="15.75" x14ac:dyDescent="0.25">
      <c r="A4" s="1338" t="s">
        <v>3993</v>
      </c>
      <c r="B4" s="1338"/>
      <c r="C4" s="1338"/>
      <c r="D4" s="1338"/>
      <c r="E4" s="1338"/>
      <c r="F4" s="1338"/>
      <c r="G4" s="1338"/>
    </row>
    <row r="5" spans="1:30" x14ac:dyDescent="0.25">
      <c r="A5" s="652"/>
      <c r="B5" s="652"/>
      <c r="C5" s="652"/>
      <c r="D5" s="774"/>
      <c r="E5" s="82"/>
      <c r="F5" s="82"/>
      <c r="G5" s="652"/>
    </row>
    <row r="6" spans="1:30" x14ac:dyDescent="0.25">
      <c r="A6" s="157" t="s">
        <v>3</v>
      </c>
      <c r="B6" s="157"/>
      <c r="C6" s="76"/>
      <c r="D6" s="773"/>
      <c r="E6" s="79"/>
      <c r="F6" s="79"/>
      <c r="G6" s="76"/>
    </row>
    <row r="7" spans="1:30" x14ac:dyDescent="0.25">
      <c r="A7" s="1339" t="str">
        <f>+A.3!C8</f>
        <v>PENERIMAAN  : Rp5.620.854.115.000</v>
      </c>
      <c r="B7" s="1339"/>
      <c r="C7" s="653"/>
      <c r="D7" s="775"/>
      <c r="E7" s="1343" t="s">
        <v>3994</v>
      </c>
      <c r="F7" s="1343"/>
      <c r="G7" s="143"/>
    </row>
    <row r="8" spans="1:30" x14ac:dyDescent="0.25">
      <c r="A8" s="653"/>
      <c r="B8" s="653"/>
      <c r="C8" s="76"/>
      <c r="D8" s="773"/>
      <c r="E8" s="79"/>
      <c r="F8" s="79"/>
      <c r="G8" s="76"/>
    </row>
    <row r="9" spans="1:30" ht="39" customHeight="1" x14ac:dyDescent="0.25">
      <c r="A9" s="1324" t="s">
        <v>6</v>
      </c>
      <c r="B9" s="1340" t="s">
        <v>7</v>
      </c>
      <c r="C9" s="1342" t="s">
        <v>10</v>
      </c>
      <c r="D9" s="1342"/>
      <c r="E9" s="1342"/>
      <c r="F9" s="1342"/>
      <c r="G9" s="1340" t="s">
        <v>11</v>
      </c>
    </row>
    <row r="10" spans="1:30" ht="76.5" x14ac:dyDescent="0.25">
      <c r="A10" s="1325"/>
      <c r="B10" s="1341"/>
      <c r="C10" s="85" t="s">
        <v>14</v>
      </c>
      <c r="D10" s="559" t="s">
        <v>3995</v>
      </c>
      <c r="E10" s="359" t="s">
        <v>3996</v>
      </c>
      <c r="F10" s="359" t="s">
        <v>3997</v>
      </c>
      <c r="G10" s="1341"/>
    </row>
    <row r="11" spans="1:30" ht="13.5" thickBot="1" x14ac:dyDescent="0.3">
      <c r="A11" s="584" t="s">
        <v>18</v>
      </c>
      <c r="B11" s="584" t="s">
        <v>19</v>
      </c>
      <c r="C11" s="585" t="s">
        <v>20</v>
      </c>
      <c r="D11" s="855" t="s">
        <v>21</v>
      </c>
      <c r="E11" s="856" t="s">
        <v>22</v>
      </c>
      <c r="F11" s="856" t="s">
        <v>23</v>
      </c>
      <c r="G11" s="585" t="s">
        <v>24</v>
      </c>
    </row>
    <row r="12" spans="1:30" ht="13.5" thickTop="1" x14ac:dyDescent="0.25">
      <c r="A12" s="586"/>
      <c r="B12" s="586"/>
      <c r="C12" s="587"/>
      <c r="D12" s="776"/>
      <c r="E12" s="588"/>
      <c r="F12" s="588"/>
      <c r="G12" s="587"/>
    </row>
    <row r="13" spans="1:30" s="105" customFormat="1" ht="20.100000000000001" customHeight="1" x14ac:dyDescent="0.25">
      <c r="A13" s="654" t="s">
        <v>80</v>
      </c>
      <c r="B13" s="210" t="s">
        <v>81</v>
      </c>
      <c r="C13" s="589">
        <f>+C14+C83+C97+C105+C110+C114+C125+C137+C145+C151+C155+C159+C172+C178+C185+C189+C193+C197+C215+C219</f>
        <v>707425763694</v>
      </c>
      <c r="D13" s="777">
        <f>+D14+D83+D97+D110+D114+D125+D137+D145+D151+D155+D159+D172+D178+D185+D189+D193+D197+D215+D105+D219</f>
        <v>668079893327</v>
      </c>
      <c r="E13" s="590">
        <f>+D13/C13*100</f>
        <v>94.438162647406884</v>
      </c>
      <c r="F13" s="590">
        <f>+E13</f>
        <v>94.438162647406884</v>
      </c>
      <c r="G13" s="591"/>
      <c r="H13" s="1336"/>
      <c r="I13" s="1337"/>
      <c r="J13" s="1337"/>
      <c r="K13" s="1337"/>
      <c r="L13" s="1337"/>
      <c r="M13" s="1337"/>
      <c r="N13" s="1337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</row>
    <row r="14" spans="1:30" s="105" customFormat="1" ht="20.100000000000001" customHeight="1" x14ac:dyDescent="0.25">
      <c r="A14" s="159"/>
      <c r="B14" s="48" t="s">
        <v>82</v>
      </c>
      <c r="C14" s="112">
        <f>+C15+C27+C24+C32+C41+C58+C61+C69</f>
        <v>113863368526</v>
      </c>
      <c r="D14" s="113">
        <f>+D15+D24+D27+D32+D41+D58+D61+D69</f>
        <v>78004968264</v>
      </c>
      <c r="E14" s="110">
        <f>+D14/C14*100</f>
        <v>68.507518505556988</v>
      </c>
      <c r="F14" s="110">
        <f t="shared" ref="F14:F77" si="0">+E14</f>
        <v>68.507518505556988</v>
      </c>
      <c r="G14" s="121"/>
      <c r="H14" s="1336"/>
      <c r="I14" s="1337"/>
      <c r="J14" s="1337"/>
      <c r="K14" s="1337"/>
      <c r="L14" s="1337"/>
      <c r="M14" s="1337"/>
      <c r="N14" s="1337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</row>
    <row r="15" spans="1:30" s="104" customFormat="1" ht="20.100000000000001" customHeight="1" x14ac:dyDescent="0.25">
      <c r="A15" s="109"/>
      <c r="B15" s="48" t="s">
        <v>83</v>
      </c>
      <c r="C15" s="112">
        <v>7770200000</v>
      </c>
      <c r="D15" s="113">
        <f>SUM(D16:D23)</f>
        <v>6916445112</v>
      </c>
      <c r="E15" s="110">
        <f t="shared" ref="E15:E78" si="1">+D15/C15*100</f>
        <v>89.012446423515485</v>
      </c>
      <c r="F15" s="110">
        <f t="shared" si="0"/>
        <v>89.012446423515485</v>
      </c>
      <c r="G15" s="111"/>
      <c r="H15" s="1336"/>
      <c r="I15" s="1337"/>
      <c r="J15" s="1337"/>
      <c r="K15" s="1337"/>
      <c r="L15" s="1337"/>
      <c r="M15" s="1337"/>
      <c r="N15" s="1337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</row>
    <row r="16" spans="1:30" s="104" customFormat="1" ht="20.100000000000001" customHeight="1" x14ac:dyDescent="0.25">
      <c r="A16" s="109"/>
      <c r="B16" s="32" t="s">
        <v>84</v>
      </c>
      <c r="C16" s="172">
        <v>704000000</v>
      </c>
      <c r="D16" s="221">
        <v>704000000</v>
      </c>
      <c r="E16" s="235">
        <f t="shared" si="1"/>
        <v>100</v>
      </c>
      <c r="F16" s="235">
        <f t="shared" si="0"/>
        <v>100</v>
      </c>
      <c r="G16" s="111"/>
      <c r="H16" s="1336"/>
      <c r="I16" s="1337"/>
      <c r="J16" s="1337"/>
      <c r="K16" s="1337"/>
      <c r="L16" s="1337"/>
      <c r="M16" s="1337"/>
      <c r="N16" s="1337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</row>
    <row r="17" spans="1:30" s="104" customFormat="1" ht="20.100000000000001" customHeight="1" x14ac:dyDescent="0.25">
      <c r="A17" s="109"/>
      <c r="B17" s="32" t="s">
        <v>85</v>
      </c>
      <c r="C17" s="172">
        <v>724300000</v>
      </c>
      <c r="D17" s="221">
        <v>724285400</v>
      </c>
      <c r="E17" s="235">
        <f t="shared" si="1"/>
        <v>99.997984260665476</v>
      </c>
      <c r="F17" s="235">
        <f t="shared" si="0"/>
        <v>99.997984260665476</v>
      </c>
      <c r="G17" s="111"/>
      <c r="H17" s="1336"/>
      <c r="I17" s="1337"/>
      <c r="J17" s="1337"/>
      <c r="K17" s="1337"/>
      <c r="L17" s="1337"/>
      <c r="M17" s="1337"/>
      <c r="N17" s="1337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</row>
    <row r="18" spans="1:30" s="104" customFormat="1" ht="20.100000000000001" customHeight="1" x14ac:dyDescent="0.25">
      <c r="A18" s="109"/>
      <c r="B18" s="119" t="s">
        <v>86</v>
      </c>
      <c r="C18" s="172">
        <v>705250000</v>
      </c>
      <c r="D18" s="108"/>
      <c r="E18" s="110">
        <f t="shared" si="1"/>
        <v>0</v>
      </c>
      <c r="F18" s="235">
        <f t="shared" si="0"/>
        <v>0</v>
      </c>
      <c r="G18" s="111"/>
      <c r="H18" s="1336"/>
      <c r="I18" s="1337"/>
      <c r="J18" s="1337"/>
      <c r="K18" s="1337"/>
      <c r="L18" s="1337"/>
      <c r="M18" s="1337"/>
      <c r="N18" s="1337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</row>
    <row r="19" spans="1:30" s="104" customFormat="1" ht="20.100000000000001" customHeight="1" x14ac:dyDescent="0.25">
      <c r="A19" s="109"/>
      <c r="B19" s="32" t="s">
        <v>87</v>
      </c>
      <c r="C19" s="172">
        <v>3209750000</v>
      </c>
      <c r="D19" s="221">
        <v>3061259712</v>
      </c>
      <c r="E19" s="110">
        <f t="shared" si="1"/>
        <v>95.373774032245507</v>
      </c>
      <c r="F19" s="235">
        <f t="shared" si="0"/>
        <v>95.373774032245507</v>
      </c>
      <c r="G19" s="111"/>
      <c r="H19" s="1336"/>
      <c r="I19" s="1337"/>
      <c r="J19" s="1337"/>
      <c r="K19" s="1337"/>
      <c r="L19" s="1337"/>
      <c r="M19" s="1337"/>
      <c r="N19" s="1337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</row>
    <row r="20" spans="1:30" s="104" customFormat="1" ht="20.100000000000001" customHeight="1" x14ac:dyDescent="0.25">
      <c r="A20" s="109"/>
      <c r="B20" s="32" t="s">
        <v>88</v>
      </c>
      <c r="C20" s="172">
        <v>700400000</v>
      </c>
      <c r="D20" s="221">
        <v>700400000</v>
      </c>
      <c r="E20" s="235">
        <f t="shared" si="1"/>
        <v>100</v>
      </c>
      <c r="F20" s="235">
        <f t="shared" si="0"/>
        <v>100</v>
      </c>
      <c r="G20" s="111"/>
      <c r="H20" s="1336"/>
      <c r="I20" s="1337"/>
      <c r="J20" s="1337"/>
      <c r="K20" s="1337"/>
      <c r="L20" s="1337"/>
      <c r="M20" s="1337"/>
      <c r="N20" s="1337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</row>
    <row r="21" spans="1:30" s="104" customFormat="1" ht="20.100000000000001" customHeight="1" x14ac:dyDescent="0.25">
      <c r="A21" s="109"/>
      <c r="B21" s="32" t="s">
        <v>89</v>
      </c>
      <c r="C21" s="172">
        <v>767000000</v>
      </c>
      <c r="D21" s="221">
        <v>767000000</v>
      </c>
      <c r="E21" s="235">
        <f t="shared" si="1"/>
        <v>100</v>
      </c>
      <c r="F21" s="235">
        <f t="shared" si="0"/>
        <v>100</v>
      </c>
      <c r="G21" s="111"/>
      <c r="H21" s="1336"/>
      <c r="I21" s="1337"/>
      <c r="J21" s="1337"/>
      <c r="K21" s="1337"/>
      <c r="L21" s="1337"/>
      <c r="M21" s="1337"/>
      <c r="N21" s="1337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</row>
    <row r="22" spans="1:30" s="104" customFormat="1" ht="20.100000000000001" customHeight="1" x14ac:dyDescent="0.25">
      <c r="A22" s="109"/>
      <c r="B22" s="32" t="s">
        <v>90</v>
      </c>
      <c r="C22" s="172">
        <v>559500000</v>
      </c>
      <c r="D22" s="221">
        <v>559500000</v>
      </c>
      <c r="E22" s="235">
        <f t="shared" si="1"/>
        <v>100</v>
      </c>
      <c r="F22" s="235">
        <f t="shared" si="0"/>
        <v>100</v>
      </c>
      <c r="G22" s="111"/>
      <c r="H22" s="1336"/>
      <c r="I22" s="1337"/>
      <c r="J22" s="1337"/>
      <c r="K22" s="1337"/>
      <c r="L22" s="1337"/>
      <c r="M22" s="1337"/>
      <c r="N22" s="1337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</row>
    <row r="23" spans="1:30" s="104" customFormat="1" ht="20.100000000000001" customHeight="1" x14ac:dyDescent="0.25">
      <c r="A23" s="109"/>
      <c r="B23" s="32" t="s">
        <v>91</v>
      </c>
      <c r="C23" s="172">
        <v>400000000</v>
      </c>
      <c r="D23" s="221">
        <v>400000000</v>
      </c>
      <c r="E23" s="235">
        <f t="shared" si="1"/>
        <v>100</v>
      </c>
      <c r="F23" s="235">
        <f t="shared" si="0"/>
        <v>100</v>
      </c>
      <c r="G23" s="111"/>
      <c r="H23" s="1336"/>
      <c r="I23" s="1337"/>
      <c r="J23" s="1337"/>
      <c r="K23" s="1337"/>
      <c r="L23" s="1337"/>
      <c r="M23" s="1337"/>
      <c r="N23" s="1337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</row>
    <row r="24" spans="1:30" s="104" customFormat="1" ht="20.100000000000001" customHeight="1" x14ac:dyDescent="0.25">
      <c r="A24" s="109"/>
      <c r="B24" s="48" t="s">
        <v>92</v>
      </c>
      <c r="C24" s="112">
        <v>656600000</v>
      </c>
      <c r="D24" s="113">
        <f>+D25+D26</f>
        <v>656600000</v>
      </c>
      <c r="E24" s="110">
        <f t="shared" si="1"/>
        <v>100</v>
      </c>
      <c r="F24" s="110">
        <f t="shared" si="0"/>
        <v>100</v>
      </c>
      <c r="G24" s="111"/>
      <c r="H24" s="1336"/>
      <c r="I24" s="1337"/>
      <c r="J24" s="1337"/>
      <c r="K24" s="1337"/>
      <c r="L24" s="1337"/>
      <c r="M24" s="1337"/>
      <c r="N24" s="1337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</row>
    <row r="25" spans="1:30" s="104" customFormat="1" ht="20.100000000000001" customHeight="1" x14ac:dyDescent="0.25">
      <c r="A25" s="109"/>
      <c r="B25" s="32" t="s">
        <v>93</v>
      </c>
      <c r="C25" s="172">
        <v>656600000</v>
      </c>
      <c r="D25" s="221">
        <v>656600000</v>
      </c>
      <c r="E25" s="235">
        <f t="shared" si="1"/>
        <v>100</v>
      </c>
      <c r="F25" s="235">
        <f t="shared" si="0"/>
        <v>100</v>
      </c>
      <c r="G25" s="111"/>
      <c r="H25" s="1336"/>
      <c r="I25" s="1337"/>
      <c r="J25" s="1337"/>
      <c r="K25" s="1337"/>
      <c r="L25" s="1337"/>
      <c r="M25" s="1337"/>
      <c r="N25" s="1337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</row>
    <row r="26" spans="1:30" s="104" customFormat="1" ht="20.100000000000001" customHeight="1" x14ac:dyDescent="0.25">
      <c r="A26" s="109"/>
      <c r="B26" s="32" t="s">
        <v>94</v>
      </c>
      <c r="C26" s="172">
        <v>0</v>
      </c>
      <c r="D26" s="108"/>
      <c r="E26" s="110"/>
      <c r="F26" s="110">
        <f t="shared" si="0"/>
        <v>0</v>
      </c>
      <c r="G26" s="111"/>
      <c r="H26" s="1336"/>
      <c r="I26" s="1337"/>
      <c r="J26" s="1337"/>
      <c r="K26" s="1337"/>
      <c r="L26" s="1337"/>
      <c r="M26" s="1337"/>
      <c r="N26" s="1337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</row>
    <row r="27" spans="1:30" s="104" customFormat="1" ht="20.100000000000001" customHeight="1" x14ac:dyDescent="0.25">
      <c r="A27" s="109"/>
      <c r="B27" s="48" t="s">
        <v>95</v>
      </c>
      <c r="C27" s="112">
        <v>1356000000</v>
      </c>
      <c r="D27" s="113">
        <f>SUM(D28:D31)</f>
        <v>1333677378</v>
      </c>
      <c r="E27" s="110">
        <f t="shared" si="1"/>
        <v>98.3537889380531</v>
      </c>
      <c r="F27" s="110">
        <f t="shared" si="0"/>
        <v>98.3537889380531</v>
      </c>
      <c r="G27" s="111"/>
      <c r="H27" s="1336"/>
      <c r="I27" s="1337"/>
      <c r="J27" s="1337"/>
      <c r="K27" s="1337"/>
      <c r="L27" s="1337"/>
      <c r="M27" s="1337"/>
      <c r="N27" s="1337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</row>
    <row r="28" spans="1:30" s="104" customFormat="1" ht="20.100000000000001" customHeight="1" x14ac:dyDescent="0.25">
      <c r="A28" s="109"/>
      <c r="B28" s="32" t="s">
        <v>96</v>
      </c>
      <c r="C28" s="172">
        <v>500000000</v>
      </c>
      <c r="D28" s="221">
        <v>488080378</v>
      </c>
      <c r="E28" s="110">
        <f t="shared" si="1"/>
        <v>97.616075600000002</v>
      </c>
      <c r="F28" s="235">
        <f t="shared" si="0"/>
        <v>97.616075600000002</v>
      </c>
      <c r="G28" s="111"/>
      <c r="H28" s="1336"/>
      <c r="I28" s="1337"/>
      <c r="J28" s="1337"/>
      <c r="K28" s="1337"/>
      <c r="L28" s="1337"/>
      <c r="M28" s="1337"/>
      <c r="N28" s="1337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</row>
    <row r="29" spans="1:30" s="104" customFormat="1" ht="20.100000000000001" customHeight="1" x14ac:dyDescent="0.25">
      <c r="A29" s="109"/>
      <c r="B29" s="32" t="s">
        <v>97</v>
      </c>
      <c r="C29" s="172">
        <v>200000000</v>
      </c>
      <c r="D29" s="221">
        <v>200000000</v>
      </c>
      <c r="E29" s="235">
        <f t="shared" si="1"/>
        <v>100</v>
      </c>
      <c r="F29" s="235">
        <f t="shared" si="0"/>
        <v>100</v>
      </c>
      <c r="G29" s="111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</row>
    <row r="30" spans="1:30" s="104" customFormat="1" ht="20.100000000000001" customHeight="1" x14ac:dyDescent="0.25">
      <c r="A30" s="109"/>
      <c r="B30" s="32" t="s">
        <v>98</v>
      </c>
      <c r="C30" s="172">
        <v>156000000</v>
      </c>
      <c r="D30" s="221">
        <v>154875000</v>
      </c>
      <c r="E30" s="235">
        <f t="shared" si="1"/>
        <v>99.27884615384616</v>
      </c>
      <c r="F30" s="235">
        <f t="shared" si="0"/>
        <v>99.27884615384616</v>
      </c>
      <c r="G30" s="111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</row>
    <row r="31" spans="1:30" s="104" customFormat="1" ht="20.100000000000001" customHeight="1" x14ac:dyDescent="0.25">
      <c r="A31" s="109"/>
      <c r="B31" s="32" t="s">
        <v>99</v>
      </c>
      <c r="C31" s="172">
        <v>500000000</v>
      </c>
      <c r="D31" s="221">
        <v>490722000</v>
      </c>
      <c r="E31" s="235">
        <f t="shared" si="1"/>
        <v>98.144400000000005</v>
      </c>
      <c r="F31" s="235">
        <f t="shared" si="0"/>
        <v>98.144400000000005</v>
      </c>
      <c r="G31" s="111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</row>
    <row r="32" spans="1:30" s="104" customFormat="1" ht="20.100000000000001" customHeight="1" x14ac:dyDescent="0.25">
      <c r="A32" s="109"/>
      <c r="B32" s="48" t="s">
        <v>100</v>
      </c>
      <c r="C32" s="112">
        <f>+C33+C34+C35+C36+C37+C38+C39+C40</f>
        <v>14368211250</v>
      </c>
      <c r="D32" s="113">
        <f>SUM(D33:D40)</f>
        <v>13931503804</v>
      </c>
      <c r="E32" s="110">
        <f t="shared" si="1"/>
        <v>96.960599768464576</v>
      </c>
      <c r="F32" s="110">
        <f t="shared" si="0"/>
        <v>96.960599768464576</v>
      </c>
      <c r="G32" s="111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</row>
    <row r="33" spans="1:30" s="104" customFormat="1" ht="20.100000000000001" customHeight="1" x14ac:dyDescent="0.25">
      <c r="A33" s="109"/>
      <c r="B33" s="32" t="s">
        <v>101</v>
      </c>
      <c r="C33" s="172">
        <v>2000000000</v>
      </c>
      <c r="D33" s="221">
        <v>2000000000</v>
      </c>
      <c r="E33" s="235">
        <f t="shared" si="1"/>
        <v>100</v>
      </c>
      <c r="F33" s="235">
        <f t="shared" si="0"/>
        <v>100</v>
      </c>
      <c r="G33" s="111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</row>
    <row r="34" spans="1:30" s="104" customFormat="1" ht="20.100000000000001" customHeight="1" x14ac:dyDescent="0.25">
      <c r="A34" s="109"/>
      <c r="B34" s="32" t="s">
        <v>102</v>
      </c>
      <c r="C34" s="172">
        <v>2000000000</v>
      </c>
      <c r="D34" s="221">
        <v>1939630900</v>
      </c>
      <c r="E34" s="235">
        <f t="shared" si="1"/>
        <v>96.981544999999997</v>
      </c>
      <c r="F34" s="235">
        <f t="shared" si="0"/>
        <v>96.981544999999997</v>
      </c>
      <c r="G34" s="111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</row>
    <row r="35" spans="1:30" s="104" customFormat="1" ht="20.100000000000001" customHeight="1" x14ac:dyDescent="0.25">
      <c r="A35" s="109"/>
      <c r="B35" s="32" t="s">
        <v>103</v>
      </c>
      <c r="C35" s="172">
        <v>1000000000</v>
      </c>
      <c r="D35" s="221">
        <v>1000000000</v>
      </c>
      <c r="E35" s="235">
        <f t="shared" si="1"/>
        <v>100</v>
      </c>
      <c r="F35" s="235">
        <f t="shared" si="0"/>
        <v>100</v>
      </c>
      <c r="G35" s="111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</row>
    <row r="36" spans="1:30" s="104" customFormat="1" ht="20.100000000000001" customHeight="1" x14ac:dyDescent="0.25">
      <c r="A36" s="109"/>
      <c r="B36" s="32" t="s">
        <v>104</v>
      </c>
      <c r="C36" s="172">
        <v>2000000000</v>
      </c>
      <c r="D36" s="221">
        <v>1831301400</v>
      </c>
      <c r="E36" s="235">
        <f t="shared" si="1"/>
        <v>91.565070000000006</v>
      </c>
      <c r="F36" s="235">
        <f t="shared" si="0"/>
        <v>91.565070000000006</v>
      </c>
      <c r="G36" s="111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</row>
    <row r="37" spans="1:30" s="104" customFormat="1" ht="20.100000000000001" customHeight="1" x14ac:dyDescent="0.25">
      <c r="A37" s="109"/>
      <c r="B37" s="32" t="s">
        <v>105</v>
      </c>
      <c r="C37" s="172">
        <v>3000000000</v>
      </c>
      <c r="D37" s="221">
        <v>2999432300</v>
      </c>
      <c r="E37" s="235">
        <f t="shared" si="1"/>
        <v>99.981076666666667</v>
      </c>
      <c r="F37" s="235">
        <f t="shared" si="0"/>
        <v>99.981076666666667</v>
      </c>
      <c r="G37" s="111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</row>
    <row r="38" spans="1:30" s="104" customFormat="1" ht="20.100000000000001" customHeight="1" x14ac:dyDescent="0.25">
      <c r="A38" s="109"/>
      <c r="B38" s="32" t="s">
        <v>106</v>
      </c>
      <c r="C38" s="172">
        <v>840000000</v>
      </c>
      <c r="D38" s="221">
        <v>838519200</v>
      </c>
      <c r="E38" s="235">
        <f t="shared" si="1"/>
        <v>99.823714285714289</v>
      </c>
      <c r="F38" s="235">
        <f t="shared" si="0"/>
        <v>99.823714285714289</v>
      </c>
      <c r="G38" s="111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</row>
    <row r="39" spans="1:30" s="104" customFormat="1" ht="20.100000000000001" customHeight="1" x14ac:dyDescent="0.25">
      <c r="A39" s="109"/>
      <c r="B39" s="32" t="s">
        <v>107</v>
      </c>
      <c r="C39" s="172">
        <v>1728211250</v>
      </c>
      <c r="D39" s="221">
        <v>1567990528</v>
      </c>
      <c r="E39" s="235">
        <f t="shared" si="1"/>
        <v>90.729100855002528</v>
      </c>
      <c r="F39" s="235">
        <f t="shared" si="0"/>
        <v>90.729100855002528</v>
      </c>
      <c r="G39" s="111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</row>
    <row r="40" spans="1:30" s="104" customFormat="1" ht="30" customHeight="1" x14ac:dyDescent="0.25">
      <c r="A40" s="109"/>
      <c r="B40" s="119" t="s">
        <v>108</v>
      </c>
      <c r="C40" s="172">
        <v>1800000000</v>
      </c>
      <c r="D40" s="221">
        <v>1754629476</v>
      </c>
      <c r="E40" s="235">
        <f t="shared" si="1"/>
        <v>97.479415333333336</v>
      </c>
      <c r="F40" s="235">
        <f t="shared" si="0"/>
        <v>97.479415333333336</v>
      </c>
      <c r="G40" s="111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</row>
    <row r="41" spans="1:30" s="104" customFormat="1" ht="20.100000000000001" customHeight="1" x14ac:dyDescent="0.25">
      <c r="A41" s="109"/>
      <c r="B41" s="48" t="s">
        <v>109</v>
      </c>
      <c r="C41" s="112">
        <f>SUM(C42:C57)</f>
        <v>49725688750</v>
      </c>
      <c r="D41" s="113">
        <f>SUM(D42:D57)</f>
        <v>16989567218</v>
      </c>
      <c r="E41" s="110">
        <f t="shared" si="1"/>
        <v>34.166579981257676</v>
      </c>
      <c r="F41" s="110">
        <f t="shared" si="0"/>
        <v>34.166579981257676</v>
      </c>
      <c r="G41" s="111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</row>
    <row r="42" spans="1:30" s="104" customFormat="1" ht="20.100000000000001" customHeight="1" x14ac:dyDescent="0.25">
      <c r="A42" s="109"/>
      <c r="B42" s="32" t="s">
        <v>110</v>
      </c>
      <c r="C42" s="172">
        <v>1334920000</v>
      </c>
      <c r="D42" s="221">
        <v>1222723000</v>
      </c>
      <c r="E42" s="235">
        <f t="shared" si="1"/>
        <v>91.595226680250491</v>
      </c>
      <c r="F42" s="235">
        <f t="shared" si="0"/>
        <v>91.595226680250491</v>
      </c>
      <c r="G42" s="111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</row>
    <row r="43" spans="1:30" s="104" customFormat="1" ht="20.100000000000001" customHeight="1" x14ac:dyDescent="0.25">
      <c r="A43" s="109"/>
      <c r="B43" s="32" t="s">
        <v>111</v>
      </c>
      <c r="C43" s="172">
        <v>1806390000</v>
      </c>
      <c r="D43" s="221">
        <v>1755764700</v>
      </c>
      <c r="E43" s="235">
        <f t="shared" si="1"/>
        <v>97.197432448142422</v>
      </c>
      <c r="F43" s="235">
        <f t="shared" si="0"/>
        <v>97.197432448142422</v>
      </c>
      <c r="G43" s="111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</row>
    <row r="44" spans="1:30" s="104" customFormat="1" ht="20.100000000000001" customHeight="1" x14ac:dyDescent="0.25">
      <c r="A44" s="109"/>
      <c r="B44" s="32" t="s">
        <v>112</v>
      </c>
      <c r="C44" s="172">
        <v>5693390000</v>
      </c>
      <c r="D44" s="221">
        <v>5436869058</v>
      </c>
      <c r="E44" s="235">
        <f t="shared" si="1"/>
        <v>95.49440769032158</v>
      </c>
      <c r="F44" s="235">
        <f t="shared" si="0"/>
        <v>95.49440769032158</v>
      </c>
      <c r="G44" s="111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</row>
    <row r="45" spans="1:30" s="104" customFormat="1" ht="20.100000000000001" customHeight="1" x14ac:dyDescent="0.25">
      <c r="A45" s="109"/>
      <c r="B45" s="32" t="s">
        <v>113</v>
      </c>
      <c r="C45" s="172">
        <v>300000000</v>
      </c>
      <c r="D45" s="221">
        <v>300000000</v>
      </c>
      <c r="E45" s="235">
        <f t="shared" si="1"/>
        <v>100</v>
      </c>
      <c r="F45" s="235">
        <f t="shared" si="0"/>
        <v>100</v>
      </c>
      <c r="G45" s="111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</row>
    <row r="46" spans="1:30" s="104" customFormat="1" ht="20.100000000000001" customHeight="1" x14ac:dyDescent="0.25">
      <c r="A46" s="109"/>
      <c r="B46" s="32" t="s">
        <v>114</v>
      </c>
      <c r="C46" s="172">
        <v>1761300000</v>
      </c>
      <c r="D46" s="221">
        <v>1752800279</v>
      </c>
      <c r="E46" s="235">
        <f t="shared" si="1"/>
        <v>99.517417759609387</v>
      </c>
      <c r="F46" s="235">
        <f t="shared" si="0"/>
        <v>99.517417759609387</v>
      </c>
      <c r="G46" s="111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</row>
    <row r="47" spans="1:30" s="104" customFormat="1" ht="20.100000000000001" customHeight="1" x14ac:dyDescent="0.25">
      <c r="A47" s="109"/>
      <c r="B47" s="32" t="s">
        <v>115</v>
      </c>
      <c r="C47" s="172">
        <v>335000000</v>
      </c>
      <c r="D47" s="221">
        <v>335000000</v>
      </c>
      <c r="E47" s="235">
        <f t="shared" si="1"/>
        <v>100</v>
      </c>
      <c r="F47" s="235">
        <f t="shared" si="0"/>
        <v>100</v>
      </c>
      <c r="G47" s="111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</row>
    <row r="48" spans="1:30" s="104" customFormat="1" ht="20.100000000000001" customHeight="1" x14ac:dyDescent="0.25">
      <c r="A48" s="109"/>
      <c r="B48" s="32" t="s">
        <v>116</v>
      </c>
      <c r="C48" s="172">
        <v>449000000</v>
      </c>
      <c r="D48" s="221">
        <v>449000000</v>
      </c>
      <c r="E48" s="235">
        <f t="shared" si="1"/>
        <v>100</v>
      </c>
      <c r="F48" s="235">
        <f t="shared" si="0"/>
        <v>100</v>
      </c>
      <c r="G48" s="111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</row>
    <row r="49" spans="1:30" s="104" customFormat="1" ht="20.100000000000001" customHeight="1" x14ac:dyDescent="0.25">
      <c r="A49" s="109"/>
      <c r="B49" s="32" t="s">
        <v>117</v>
      </c>
      <c r="C49" s="172">
        <v>674400000</v>
      </c>
      <c r="D49" s="221">
        <v>669630000</v>
      </c>
      <c r="E49" s="235">
        <f t="shared" si="1"/>
        <v>99.292704626334512</v>
      </c>
      <c r="F49" s="235">
        <f t="shared" si="0"/>
        <v>99.292704626334512</v>
      </c>
      <c r="G49" s="111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</row>
    <row r="50" spans="1:30" s="104" customFormat="1" ht="20.100000000000001" customHeight="1" x14ac:dyDescent="0.25">
      <c r="A50" s="109"/>
      <c r="B50" s="32" t="s">
        <v>118</v>
      </c>
      <c r="C50" s="172">
        <v>569738750</v>
      </c>
      <c r="D50" s="221">
        <v>554699081</v>
      </c>
      <c r="E50" s="235">
        <f t="shared" si="1"/>
        <v>97.360251694307252</v>
      </c>
      <c r="F50" s="235">
        <f t="shared" si="0"/>
        <v>97.360251694307252</v>
      </c>
      <c r="G50" s="111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</row>
    <row r="51" spans="1:30" s="104" customFormat="1" ht="20.100000000000001" customHeight="1" x14ac:dyDescent="0.25">
      <c r="A51" s="109"/>
      <c r="B51" s="32" t="s">
        <v>119</v>
      </c>
      <c r="C51" s="172">
        <v>418900000</v>
      </c>
      <c r="D51" s="221">
        <v>418766000</v>
      </c>
      <c r="E51" s="235">
        <f t="shared" si="1"/>
        <v>99.968011458581998</v>
      </c>
      <c r="F51" s="235">
        <f t="shared" si="0"/>
        <v>99.968011458581998</v>
      </c>
      <c r="G51" s="111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</row>
    <row r="52" spans="1:30" s="104" customFormat="1" ht="20.100000000000001" customHeight="1" x14ac:dyDescent="0.25">
      <c r="A52" s="109"/>
      <c r="B52" s="32" t="s">
        <v>120</v>
      </c>
      <c r="C52" s="172">
        <v>418900000</v>
      </c>
      <c r="D52" s="221">
        <v>418900000</v>
      </c>
      <c r="E52" s="235">
        <f t="shared" si="1"/>
        <v>100</v>
      </c>
      <c r="F52" s="235">
        <f t="shared" si="0"/>
        <v>100</v>
      </c>
      <c r="G52" s="111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</row>
    <row r="53" spans="1:30" s="104" customFormat="1" ht="20.100000000000001" customHeight="1" x14ac:dyDescent="0.25">
      <c r="A53" s="109"/>
      <c r="B53" s="32" t="s">
        <v>121</v>
      </c>
      <c r="C53" s="172">
        <v>34000000000</v>
      </c>
      <c r="D53" s="221">
        <v>1516394000</v>
      </c>
      <c r="E53" s="235">
        <f t="shared" si="1"/>
        <v>4.4599823529411768</v>
      </c>
      <c r="F53" s="235">
        <f t="shared" si="0"/>
        <v>4.4599823529411768</v>
      </c>
      <c r="G53" s="111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</row>
    <row r="54" spans="1:30" s="104" customFormat="1" ht="20.100000000000001" customHeight="1" x14ac:dyDescent="0.25">
      <c r="A54" s="109"/>
      <c r="B54" s="32" t="s">
        <v>122</v>
      </c>
      <c r="C54" s="172">
        <v>291550000</v>
      </c>
      <c r="D54" s="221">
        <v>256171100</v>
      </c>
      <c r="E54" s="235">
        <f t="shared" si="1"/>
        <v>87.865237523580859</v>
      </c>
      <c r="F54" s="235">
        <f t="shared" si="0"/>
        <v>87.865237523580859</v>
      </c>
      <c r="G54" s="111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</row>
    <row r="55" spans="1:30" s="104" customFormat="1" ht="20.100000000000001" customHeight="1" x14ac:dyDescent="0.25">
      <c r="A55" s="109"/>
      <c r="B55" s="32" t="s">
        <v>123</v>
      </c>
      <c r="C55" s="172">
        <v>842000000</v>
      </c>
      <c r="D55" s="221">
        <v>800000000</v>
      </c>
      <c r="E55" s="235">
        <f t="shared" si="1"/>
        <v>95.01187648456056</v>
      </c>
      <c r="F55" s="235">
        <f t="shared" si="0"/>
        <v>95.01187648456056</v>
      </c>
      <c r="G55" s="111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</row>
    <row r="56" spans="1:30" s="104" customFormat="1" ht="20.100000000000001" customHeight="1" x14ac:dyDescent="0.25">
      <c r="A56" s="109"/>
      <c r="B56" s="32" t="s">
        <v>124</v>
      </c>
      <c r="C56" s="172">
        <v>435000000</v>
      </c>
      <c r="D56" s="221">
        <v>707650000</v>
      </c>
      <c r="E56" s="235">
        <f t="shared" si="1"/>
        <v>162.67816091954023</v>
      </c>
      <c r="F56" s="235">
        <f t="shared" si="0"/>
        <v>162.67816091954023</v>
      </c>
      <c r="G56" s="111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</row>
    <row r="57" spans="1:30" s="104" customFormat="1" ht="20.100000000000001" customHeight="1" x14ac:dyDescent="0.25">
      <c r="A57" s="109"/>
      <c r="B57" s="32" t="s">
        <v>125</v>
      </c>
      <c r="C57" s="172">
        <v>395200000</v>
      </c>
      <c r="D57" s="221">
        <v>395200000</v>
      </c>
      <c r="E57" s="235">
        <f t="shared" si="1"/>
        <v>100</v>
      </c>
      <c r="F57" s="235">
        <f t="shared" si="0"/>
        <v>100</v>
      </c>
      <c r="G57" s="111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</row>
    <row r="58" spans="1:30" s="104" customFormat="1" ht="20.100000000000001" customHeight="1" x14ac:dyDescent="0.25">
      <c r="A58" s="109"/>
      <c r="B58" s="48" t="s">
        <v>126</v>
      </c>
      <c r="C58" s="112">
        <f>+C59+C60</f>
        <v>52468526</v>
      </c>
      <c r="D58" s="113"/>
      <c r="E58" s="110">
        <f t="shared" si="1"/>
        <v>0</v>
      </c>
      <c r="F58" s="110"/>
      <c r="G58" s="111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</row>
    <row r="59" spans="1:30" s="104" customFormat="1" ht="20.100000000000001" customHeight="1" x14ac:dyDescent="0.25">
      <c r="A59" s="109"/>
      <c r="B59" s="32" t="s">
        <v>127</v>
      </c>
      <c r="C59" s="172">
        <v>14100000</v>
      </c>
      <c r="D59" s="108"/>
      <c r="E59" s="110"/>
      <c r="F59" s="110"/>
      <c r="G59" s="111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</row>
    <row r="60" spans="1:30" s="104" customFormat="1" ht="20.100000000000001" customHeight="1" x14ac:dyDescent="0.25">
      <c r="A60" s="109"/>
      <c r="B60" s="32" t="s">
        <v>128</v>
      </c>
      <c r="C60" s="172">
        <v>38368526</v>
      </c>
      <c r="D60" s="108">
        <v>0</v>
      </c>
      <c r="E60" s="110">
        <f t="shared" si="1"/>
        <v>0</v>
      </c>
      <c r="F60" s="110"/>
      <c r="G60" s="111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</row>
    <row r="61" spans="1:30" s="104" customFormat="1" ht="20.100000000000001" customHeight="1" x14ac:dyDescent="0.25">
      <c r="A61" s="109"/>
      <c r="B61" s="48" t="s">
        <v>129</v>
      </c>
      <c r="C61" s="112">
        <f>SUM(C62:C68)</f>
        <v>30476100000</v>
      </c>
      <c r="D61" s="113">
        <f>SUM(D62:D68)</f>
        <v>28727186152</v>
      </c>
      <c r="E61" s="110">
        <f t="shared" si="1"/>
        <v>94.261359399660719</v>
      </c>
      <c r="F61" s="110">
        <f t="shared" si="0"/>
        <v>94.261359399660719</v>
      </c>
      <c r="G61" s="111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</row>
    <row r="62" spans="1:30" s="104" customFormat="1" ht="20.100000000000001" customHeight="1" x14ac:dyDescent="0.25">
      <c r="A62" s="109"/>
      <c r="B62" s="32" t="s">
        <v>130</v>
      </c>
      <c r="C62" s="172">
        <v>3000000000</v>
      </c>
      <c r="D62" s="221">
        <v>2975075989</v>
      </c>
      <c r="E62" s="235">
        <f t="shared" si="1"/>
        <v>99.169199633333335</v>
      </c>
      <c r="F62" s="235">
        <f t="shared" si="0"/>
        <v>99.169199633333335</v>
      </c>
      <c r="G62" s="111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</row>
    <row r="63" spans="1:30" s="104" customFormat="1" ht="20.100000000000001" customHeight="1" x14ac:dyDescent="0.25">
      <c r="A63" s="109"/>
      <c r="B63" s="119" t="s">
        <v>131</v>
      </c>
      <c r="C63" s="172">
        <v>10007100000</v>
      </c>
      <c r="D63" s="221">
        <v>9302258163</v>
      </c>
      <c r="E63" s="235">
        <f t="shared" si="1"/>
        <v>92.956582456455919</v>
      </c>
      <c r="F63" s="235">
        <f t="shared" si="0"/>
        <v>92.956582456455919</v>
      </c>
      <c r="G63" s="111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</row>
    <row r="64" spans="1:30" s="104" customFormat="1" ht="20.100000000000001" customHeight="1" x14ac:dyDescent="0.25">
      <c r="A64" s="109"/>
      <c r="B64" s="32" t="s">
        <v>132</v>
      </c>
      <c r="C64" s="172">
        <v>11716200000</v>
      </c>
      <c r="D64" s="221">
        <v>11212443800</v>
      </c>
      <c r="E64" s="235">
        <f t="shared" si="1"/>
        <v>95.700344821699872</v>
      </c>
      <c r="F64" s="235">
        <f t="shared" si="0"/>
        <v>95.700344821699872</v>
      </c>
      <c r="G64" s="111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</row>
    <row r="65" spans="1:30" s="104" customFormat="1" ht="20.100000000000001" customHeight="1" x14ac:dyDescent="0.25">
      <c r="A65" s="109"/>
      <c r="B65" s="32" t="s">
        <v>133</v>
      </c>
      <c r="C65" s="172">
        <v>4015000000</v>
      </c>
      <c r="D65" s="221">
        <v>4000000000</v>
      </c>
      <c r="E65" s="235">
        <f t="shared" si="1"/>
        <v>99.62640099626401</v>
      </c>
      <c r="F65" s="235">
        <f t="shared" si="0"/>
        <v>99.62640099626401</v>
      </c>
      <c r="G65" s="111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</row>
    <row r="66" spans="1:30" s="104" customFormat="1" ht="20.100000000000001" customHeight="1" x14ac:dyDescent="0.25">
      <c r="A66" s="109"/>
      <c r="B66" s="32" t="s">
        <v>134</v>
      </c>
      <c r="C66" s="172">
        <v>737800000</v>
      </c>
      <c r="D66" s="221">
        <v>687408200</v>
      </c>
      <c r="E66" s="235">
        <f t="shared" si="1"/>
        <v>93.169991867714828</v>
      </c>
      <c r="F66" s="235">
        <f t="shared" si="0"/>
        <v>93.169991867714828</v>
      </c>
      <c r="G66" s="111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</row>
    <row r="67" spans="1:30" s="104" customFormat="1" ht="20.100000000000001" customHeight="1" x14ac:dyDescent="0.25">
      <c r="A67" s="109"/>
      <c r="B67" s="32" t="s">
        <v>135</v>
      </c>
      <c r="C67" s="172">
        <v>600000000</v>
      </c>
      <c r="D67" s="221">
        <v>150000000</v>
      </c>
      <c r="E67" s="235">
        <f t="shared" si="1"/>
        <v>25</v>
      </c>
      <c r="F67" s="235">
        <f t="shared" si="0"/>
        <v>25</v>
      </c>
      <c r="G67" s="111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</row>
    <row r="68" spans="1:30" s="104" customFormat="1" ht="20.100000000000001" customHeight="1" x14ac:dyDescent="0.25">
      <c r="A68" s="109"/>
      <c r="B68" s="32" t="s">
        <v>136</v>
      </c>
      <c r="C68" s="172">
        <v>400000000</v>
      </c>
      <c r="D68" s="221">
        <v>400000000</v>
      </c>
      <c r="E68" s="235">
        <f t="shared" si="1"/>
        <v>100</v>
      </c>
      <c r="F68" s="235">
        <f t="shared" si="0"/>
        <v>100</v>
      </c>
      <c r="G68" s="111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</row>
    <row r="69" spans="1:30" s="104" customFormat="1" ht="20.100000000000001" customHeight="1" x14ac:dyDescent="0.25">
      <c r="A69" s="109"/>
      <c r="B69" s="48" t="s">
        <v>137</v>
      </c>
      <c r="C69" s="112">
        <f>SUM(C70:C81)</f>
        <v>9458100000</v>
      </c>
      <c r="D69" s="113">
        <f>+D70+D71+D72+D73+D74+D75+D76+D77+D78+D79+D80+D81</f>
        <v>9449988600</v>
      </c>
      <c r="E69" s="110">
        <f t="shared" si="1"/>
        <v>99.91423858914581</v>
      </c>
      <c r="F69" s="110">
        <f t="shared" si="0"/>
        <v>99.91423858914581</v>
      </c>
      <c r="G69" s="111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</row>
    <row r="70" spans="1:30" s="104" customFormat="1" ht="20.100000000000001" customHeight="1" x14ac:dyDescent="0.25">
      <c r="A70" s="109"/>
      <c r="B70" s="32" t="s">
        <v>138</v>
      </c>
      <c r="C70" s="172">
        <v>2882000000</v>
      </c>
      <c r="D70" s="221">
        <v>2878038600</v>
      </c>
      <c r="E70" s="235">
        <f t="shared" si="1"/>
        <v>99.862546842470508</v>
      </c>
      <c r="F70" s="235">
        <f t="shared" si="0"/>
        <v>99.862546842470508</v>
      </c>
      <c r="G70" s="111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</row>
    <row r="71" spans="1:30" s="104" customFormat="1" ht="20.100000000000001" customHeight="1" x14ac:dyDescent="0.25">
      <c r="A71" s="109"/>
      <c r="B71" s="32" t="s">
        <v>139</v>
      </c>
      <c r="C71" s="172">
        <v>500000000</v>
      </c>
      <c r="D71" s="221">
        <v>500000000</v>
      </c>
      <c r="E71" s="235">
        <f t="shared" si="1"/>
        <v>100</v>
      </c>
      <c r="F71" s="235">
        <f t="shared" si="0"/>
        <v>100</v>
      </c>
      <c r="G71" s="111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</row>
    <row r="72" spans="1:30" s="104" customFormat="1" ht="20.100000000000001" customHeight="1" x14ac:dyDescent="0.25">
      <c r="A72" s="109"/>
      <c r="B72" s="32" t="s">
        <v>140</v>
      </c>
      <c r="C72" s="172">
        <v>375000000</v>
      </c>
      <c r="D72" s="221">
        <v>374820600</v>
      </c>
      <c r="E72" s="235">
        <f t="shared" si="1"/>
        <v>99.952160000000006</v>
      </c>
      <c r="F72" s="235">
        <f t="shared" si="0"/>
        <v>99.952160000000006</v>
      </c>
      <c r="G72" s="111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</row>
    <row r="73" spans="1:30" s="104" customFormat="1" ht="20.100000000000001" customHeight="1" x14ac:dyDescent="0.25">
      <c r="A73" s="109"/>
      <c r="B73" s="32" t="s">
        <v>141</v>
      </c>
      <c r="C73" s="172">
        <v>500000000</v>
      </c>
      <c r="D73" s="221">
        <v>500000000</v>
      </c>
      <c r="E73" s="235">
        <f t="shared" si="1"/>
        <v>100</v>
      </c>
      <c r="F73" s="235">
        <f t="shared" si="0"/>
        <v>100</v>
      </c>
      <c r="G73" s="111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</row>
    <row r="74" spans="1:30" s="104" customFormat="1" ht="20.100000000000001" customHeight="1" x14ac:dyDescent="0.25">
      <c r="A74" s="109"/>
      <c r="B74" s="32" t="s">
        <v>142</v>
      </c>
      <c r="C74" s="172">
        <v>970400000</v>
      </c>
      <c r="D74" s="221">
        <v>968193800</v>
      </c>
      <c r="E74" s="235">
        <f t="shared" si="1"/>
        <v>99.772650453421278</v>
      </c>
      <c r="F74" s="235">
        <f t="shared" si="0"/>
        <v>99.772650453421278</v>
      </c>
      <c r="G74" s="111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</row>
    <row r="75" spans="1:30" s="104" customFormat="1" ht="20.100000000000001" customHeight="1" x14ac:dyDescent="0.25">
      <c r="A75" s="109"/>
      <c r="B75" s="32" t="s">
        <v>143</v>
      </c>
      <c r="C75" s="172">
        <v>981000000</v>
      </c>
      <c r="D75" s="221">
        <v>981000000</v>
      </c>
      <c r="E75" s="235">
        <f t="shared" si="1"/>
        <v>100</v>
      </c>
      <c r="F75" s="235">
        <f t="shared" si="0"/>
        <v>100</v>
      </c>
      <c r="G75" s="111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</row>
    <row r="76" spans="1:30" s="104" customFormat="1" ht="20.100000000000001" customHeight="1" x14ac:dyDescent="0.25">
      <c r="A76" s="109"/>
      <c r="B76" s="32" t="s">
        <v>144</v>
      </c>
      <c r="C76" s="172">
        <v>899400000</v>
      </c>
      <c r="D76" s="221">
        <v>898377000</v>
      </c>
      <c r="E76" s="235">
        <f t="shared" si="1"/>
        <v>99.886257505003343</v>
      </c>
      <c r="F76" s="235">
        <f t="shared" si="0"/>
        <v>99.886257505003343</v>
      </c>
      <c r="G76" s="111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</row>
    <row r="77" spans="1:30" s="104" customFormat="1" ht="20.100000000000001" customHeight="1" x14ac:dyDescent="0.25">
      <c r="A77" s="109"/>
      <c r="B77" s="32" t="s">
        <v>145</v>
      </c>
      <c r="C77" s="172">
        <v>461600000</v>
      </c>
      <c r="D77" s="221">
        <v>461600000</v>
      </c>
      <c r="E77" s="235">
        <f t="shared" si="1"/>
        <v>100</v>
      </c>
      <c r="F77" s="235">
        <f t="shared" si="0"/>
        <v>100</v>
      </c>
      <c r="G77" s="111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</row>
    <row r="78" spans="1:30" s="104" customFormat="1" ht="20.100000000000001" customHeight="1" x14ac:dyDescent="0.25">
      <c r="A78" s="109"/>
      <c r="B78" s="32" t="s">
        <v>146</v>
      </c>
      <c r="C78" s="172">
        <v>488700000</v>
      </c>
      <c r="D78" s="221">
        <v>487958600</v>
      </c>
      <c r="E78" s="235">
        <f t="shared" si="1"/>
        <v>99.848291385307959</v>
      </c>
      <c r="F78" s="235">
        <f t="shared" ref="F78:F81" si="2">+E78</f>
        <v>99.848291385307959</v>
      </c>
      <c r="G78" s="111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</row>
    <row r="79" spans="1:30" s="104" customFormat="1" ht="20.100000000000001" customHeight="1" x14ac:dyDescent="0.25">
      <c r="A79" s="109"/>
      <c r="B79" s="32" t="s">
        <v>147</v>
      </c>
      <c r="C79" s="172">
        <v>500000000</v>
      </c>
      <c r="D79" s="221">
        <v>500000000</v>
      </c>
      <c r="E79" s="235">
        <f t="shared" ref="E79:E81" si="3">+D79/C79*100</f>
        <v>100</v>
      </c>
      <c r="F79" s="235">
        <f t="shared" si="2"/>
        <v>100</v>
      </c>
      <c r="G79" s="111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</row>
    <row r="80" spans="1:30" s="104" customFormat="1" ht="20.100000000000001" customHeight="1" x14ac:dyDescent="0.25">
      <c r="A80" s="109"/>
      <c r="B80" s="32" t="s">
        <v>148</v>
      </c>
      <c r="C80" s="172">
        <v>500000000</v>
      </c>
      <c r="D80" s="221">
        <v>500000000</v>
      </c>
      <c r="E80" s="235">
        <f t="shared" si="3"/>
        <v>100</v>
      </c>
      <c r="F80" s="235">
        <f t="shared" si="2"/>
        <v>100</v>
      </c>
      <c r="G80" s="111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</row>
    <row r="81" spans="1:30" s="104" customFormat="1" ht="20.100000000000001" customHeight="1" x14ac:dyDescent="0.25">
      <c r="A81" s="109"/>
      <c r="B81" s="32" t="s">
        <v>149</v>
      </c>
      <c r="C81" s="172">
        <v>400000000</v>
      </c>
      <c r="D81" s="221">
        <v>400000000</v>
      </c>
      <c r="E81" s="235">
        <f t="shared" si="3"/>
        <v>100</v>
      </c>
      <c r="F81" s="235">
        <f t="shared" si="2"/>
        <v>100</v>
      </c>
      <c r="G81" s="111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</row>
    <row r="82" spans="1:30" s="104" customFormat="1" ht="13.5" customHeight="1" x14ac:dyDescent="0.25">
      <c r="A82" s="109"/>
      <c r="B82" s="32"/>
      <c r="C82" s="592"/>
      <c r="D82" s="778"/>
      <c r="E82" s="117"/>
      <c r="F82" s="114"/>
      <c r="G82" s="111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</row>
    <row r="83" spans="1:30" s="104" customFormat="1" ht="20.100000000000001" customHeight="1" x14ac:dyDescent="0.25">
      <c r="A83" s="109"/>
      <c r="B83" s="48" t="s">
        <v>1020</v>
      </c>
      <c r="C83" s="593">
        <f>+C84+C87+C90+C94</f>
        <v>5237317000</v>
      </c>
      <c r="D83" s="779">
        <f>+D84+D87+D90+D94</f>
        <v>4296036036</v>
      </c>
      <c r="E83" s="114">
        <f>+D83/C83*100</f>
        <v>82.027420452113176</v>
      </c>
      <c r="F83" s="114">
        <f>+E83</f>
        <v>82.027420452113176</v>
      </c>
      <c r="G83" s="111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</row>
    <row r="84" spans="1:30" s="105" customFormat="1" ht="20.100000000000001" customHeight="1" x14ac:dyDescent="0.25">
      <c r="A84" s="159"/>
      <c r="B84" s="48" t="s">
        <v>153</v>
      </c>
      <c r="C84" s="112">
        <v>1820500000</v>
      </c>
      <c r="D84" s="220">
        <f>+D85+D86</f>
        <v>1510173306</v>
      </c>
      <c r="E84" s="110">
        <f t="shared" ref="E84:E86" si="4">+D84/C84*100</f>
        <v>82.953765778632246</v>
      </c>
      <c r="F84" s="114">
        <f t="shared" ref="F84:F149" si="5">+E84</f>
        <v>82.953765778632246</v>
      </c>
      <c r="G84" s="121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</row>
    <row r="85" spans="1:30" s="104" customFormat="1" ht="20.100000000000001" customHeight="1" x14ac:dyDescent="0.25">
      <c r="A85" s="109"/>
      <c r="B85" s="32" t="s">
        <v>154</v>
      </c>
      <c r="C85" s="172">
        <v>866000000</v>
      </c>
      <c r="D85" s="221">
        <v>578154400</v>
      </c>
      <c r="E85" s="235">
        <f t="shared" si="4"/>
        <v>66.761478060046187</v>
      </c>
      <c r="F85" s="117">
        <f t="shared" si="5"/>
        <v>66.761478060046187</v>
      </c>
      <c r="G85" s="111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</row>
    <row r="86" spans="1:30" s="104" customFormat="1" ht="20.100000000000001" customHeight="1" x14ac:dyDescent="0.25">
      <c r="A86" s="109"/>
      <c r="B86" s="32" t="s">
        <v>155</v>
      </c>
      <c r="C86" s="172">
        <v>954500000</v>
      </c>
      <c r="D86" s="221">
        <v>932018906</v>
      </c>
      <c r="E86" s="235">
        <f t="shared" si="4"/>
        <v>97.644725615505507</v>
      </c>
      <c r="F86" s="117">
        <f t="shared" si="5"/>
        <v>97.644725615505507</v>
      </c>
      <c r="G86" s="111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</row>
    <row r="87" spans="1:30" s="104" customFormat="1" ht="20.100000000000001" customHeight="1" x14ac:dyDescent="0.25">
      <c r="A87" s="109"/>
      <c r="B87" s="48" t="s">
        <v>168</v>
      </c>
      <c r="C87" s="593">
        <f>+C88+C89</f>
        <v>209500000</v>
      </c>
      <c r="D87" s="778">
        <f>+D88+D89</f>
        <v>122391500</v>
      </c>
      <c r="E87" s="117">
        <f>+E88+E89</f>
        <v>97.913200000000003</v>
      </c>
      <c r="F87" s="117">
        <f t="shared" si="5"/>
        <v>97.913200000000003</v>
      </c>
      <c r="G87" s="111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</row>
    <row r="88" spans="1:30" s="104" customFormat="1" ht="20.100000000000001" customHeight="1" x14ac:dyDescent="0.25">
      <c r="A88" s="109"/>
      <c r="B88" s="32" t="s">
        <v>169</v>
      </c>
      <c r="C88" s="592">
        <v>125000000</v>
      </c>
      <c r="D88" s="221">
        <v>122391500</v>
      </c>
      <c r="E88" s="235">
        <f t="shared" ref="E88" si="6">+D88/C88*100</f>
        <v>97.913200000000003</v>
      </c>
      <c r="F88" s="117">
        <f t="shared" si="5"/>
        <v>97.913200000000003</v>
      </c>
      <c r="G88" s="111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</row>
    <row r="89" spans="1:30" s="104" customFormat="1" ht="20.100000000000001" customHeight="1" x14ac:dyDescent="0.25">
      <c r="A89" s="109"/>
      <c r="B89" s="32" t="s">
        <v>173</v>
      </c>
      <c r="C89" s="592">
        <v>84500000</v>
      </c>
      <c r="D89" s="778"/>
      <c r="E89" s="117"/>
      <c r="F89" s="114"/>
      <c r="G89" s="111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</row>
    <row r="90" spans="1:30" s="105" customFormat="1" ht="20.100000000000001" customHeight="1" x14ac:dyDescent="0.25">
      <c r="A90" s="159"/>
      <c r="B90" s="48" t="s">
        <v>202</v>
      </c>
      <c r="C90" s="593">
        <f>+C91+C92+C93</f>
        <v>2975475000</v>
      </c>
      <c r="D90" s="779">
        <f>+D91+D92+D93</f>
        <v>2465948930</v>
      </c>
      <c r="E90" s="114">
        <f>+D90/C90*100</f>
        <v>82.875807392097059</v>
      </c>
      <c r="F90" s="114">
        <f t="shared" si="5"/>
        <v>82.875807392097059</v>
      </c>
      <c r="G90" s="121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</row>
    <row r="91" spans="1:30" s="104" customFormat="1" ht="20.100000000000001" customHeight="1" x14ac:dyDescent="0.25">
      <c r="A91" s="109"/>
      <c r="B91" s="32" t="s">
        <v>209</v>
      </c>
      <c r="C91" s="172">
        <v>2393300000</v>
      </c>
      <c r="D91" s="221">
        <v>2038432330</v>
      </c>
      <c r="E91" s="235">
        <f t="shared" ref="E91:E93" si="7">+D91/C91*100</f>
        <v>85.172453516065687</v>
      </c>
      <c r="F91" s="117">
        <f t="shared" si="5"/>
        <v>85.172453516065687</v>
      </c>
      <c r="G91" s="111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</row>
    <row r="92" spans="1:30" s="104" customFormat="1" ht="20.100000000000001" customHeight="1" x14ac:dyDescent="0.25">
      <c r="A92" s="109"/>
      <c r="B92" s="32" t="s">
        <v>210</v>
      </c>
      <c r="C92" s="172">
        <v>378375000</v>
      </c>
      <c r="D92" s="221">
        <v>309021000</v>
      </c>
      <c r="E92" s="235">
        <f t="shared" si="7"/>
        <v>81.670564915758177</v>
      </c>
      <c r="F92" s="117">
        <f t="shared" si="5"/>
        <v>81.670564915758177</v>
      </c>
      <c r="G92" s="111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</row>
    <row r="93" spans="1:30" s="104" customFormat="1" ht="20.100000000000001" customHeight="1" x14ac:dyDescent="0.25">
      <c r="A93" s="109"/>
      <c r="B93" s="32" t="s">
        <v>211</v>
      </c>
      <c r="C93" s="172">
        <v>203800000</v>
      </c>
      <c r="D93" s="221">
        <v>118495600</v>
      </c>
      <c r="E93" s="235">
        <f t="shared" si="7"/>
        <v>58.143081452404324</v>
      </c>
      <c r="F93" s="117">
        <f t="shared" si="5"/>
        <v>58.143081452404324</v>
      </c>
      <c r="G93" s="111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</row>
    <row r="94" spans="1:30" s="105" customFormat="1" ht="20.100000000000001" customHeight="1" x14ac:dyDescent="0.25">
      <c r="A94" s="159"/>
      <c r="B94" s="48" t="s">
        <v>221</v>
      </c>
      <c r="C94" s="593">
        <v>231842000</v>
      </c>
      <c r="D94" s="779">
        <f>+D95</f>
        <v>197522300</v>
      </c>
      <c r="E94" s="114">
        <f>+E95</f>
        <v>85.196944470803388</v>
      </c>
      <c r="F94" s="114">
        <f t="shared" si="5"/>
        <v>85.196944470803388</v>
      </c>
      <c r="G94" s="121"/>
      <c r="H94" s="115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115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</row>
    <row r="95" spans="1:30" s="104" customFormat="1" ht="32.25" customHeight="1" x14ac:dyDescent="0.25">
      <c r="A95" s="109"/>
      <c r="B95" s="119" t="s">
        <v>222</v>
      </c>
      <c r="C95" s="592">
        <v>231842000</v>
      </c>
      <c r="D95" s="221">
        <v>197522300</v>
      </c>
      <c r="E95" s="235">
        <f t="shared" ref="E95" si="8">+D95/C95*100</f>
        <v>85.196944470803388</v>
      </c>
      <c r="F95" s="117">
        <f t="shared" si="5"/>
        <v>85.196944470803388</v>
      </c>
      <c r="G95" s="111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</row>
    <row r="96" spans="1:30" s="104" customFormat="1" ht="14.25" customHeight="1" x14ac:dyDescent="0.25">
      <c r="A96" s="109"/>
      <c r="B96" s="32"/>
      <c r="C96" s="592"/>
      <c r="D96" s="778"/>
      <c r="E96" s="117"/>
      <c r="F96" s="114"/>
      <c r="G96" s="111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</row>
    <row r="97" spans="1:30" s="105" customFormat="1" ht="20.100000000000001" customHeight="1" x14ac:dyDescent="0.25">
      <c r="A97" s="159"/>
      <c r="B97" s="48" t="s">
        <v>226</v>
      </c>
      <c r="C97" s="125">
        <f>+C98+C100+C102</f>
        <v>20455513264</v>
      </c>
      <c r="D97" s="779">
        <f>+D98+D100+D102</f>
        <v>20011723596</v>
      </c>
      <c r="E97" s="114">
        <f>+D97/C97*100</f>
        <v>97.830464274973565</v>
      </c>
      <c r="F97" s="114">
        <f t="shared" si="5"/>
        <v>97.830464274973565</v>
      </c>
      <c r="G97" s="121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</row>
    <row r="98" spans="1:30" s="105" customFormat="1" ht="20.100000000000001" customHeight="1" x14ac:dyDescent="0.25">
      <c r="A98" s="159"/>
      <c r="B98" s="48" t="s">
        <v>166</v>
      </c>
      <c r="C98" s="593">
        <v>16674153264</v>
      </c>
      <c r="D98" s="779">
        <f>+D99</f>
        <v>16398939000</v>
      </c>
      <c r="E98" s="114">
        <f t="shared" ref="E98:E103" si="9">+D98/C98*100</f>
        <v>98.349455833573302</v>
      </c>
      <c r="F98" s="114">
        <f t="shared" si="5"/>
        <v>98.349455833573302</v>
      </c>
      <c r="G98" s="121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</row>
    <row r="99" spans="1:30" s="104" customFormat="1" ht="20.100000000000001" customHeight="1" x14ac:dyDescent="0.25">
      <c r="A99" s="109"/>
      <c r="B99" s="32" t="s">
        <v>230</v>
      </c>
      <c r="C99" s="592">
        <v>16674153264</v>
      </c>
      <c r="D99" s="221">
        <v>16398939000</v>
      </c>
      <c r="E99" s="117">
        <f t="shared" si="9"/>
        <v>98.349455833573302</v>
      </c>
      <c r="F99" s="117">
        <f t="shared" si="5"/>
        <v>98.349455833573302</v>
      </c>
      <c r="G99" s="111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</row>
    <row r="100" spans="1:30" s="105" customFormat="1" ht="20.100000000000001" customHeight="1" x14ac:dyDescent="0.25">
      <c r="A100" s="159"/>
      <c r="B100" s="48" t="s">
        <v>231</v>
      </c>
      <c r="C100" s="593">
        <f>+C101</f>
        <v>3381360000</v>
      </c>
      <c r="D100" s="779">
        <f>+D101</f>
        <v>3380784596</v>
      </c>
      <c r="E100" s="114">
        <f t="shared" si="9"/>
        <v>99.982983060070509</v>
      </c>
      <c r="F100" s="114">
        <f t="shared" si="5"/>
        <v>99.982983060070509</v>
      </c>
      <c r="G100" s="121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</row>
    <row r="101" spans="1:30" s="104" customFormat="1" ht="20.100000000000001" customHeight="1" x14ac:dyDescent="0.25">
      <c r="A101" s="109"/>
      <c r="B101" s="32" t="s">
        <v>232</v>
      </c>
      <c r="C101" s="216">
        <v>3381360000</v>
      </c>
      <c r="D101" s="221">
        <v>3380784596</v>
      </c>
      <c r="E101" s="117">
        <f t="shared" si="9"/>
        <v>99.982983060070509</v>
      </c>
      <c r="F101" s="117">
        <f t="shared" si="5"/>
        <v>99.982983060070509</v>
      </c>
      <c r="G101" s="111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</row>
    <row r="102" spans="1:30" s="105" customFormat="1" ht="20.100000000000001" customHeight="1" x14ac:dyDescent="0.25">
      <c r="A102" s="159"/>
      <c r="B102" s="48" t="s">
        <v>202</v>
      </c>
      <c r="C102" s="593">
        <v>400000000</v>
      </c>
      <c r="D102" s="779">
        <f>+D103</f>
        <v>232000000</v>
      </c>
      <c r="E102" s="114">
        <f t="shared" si="9"/>
        <v>57.999999999999993</v>
      </c>
      <c r="F102" s="114">
        <f t="shared" si="5"/>
        <v>57.999999999999993</v>
      </c>
      <c r="G102" s="121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</row>
    <row r="103" spans="1:30" s="104" customFormat="1" ht="20.100000000000001" customHeight="1" x14ac:dyDescent="0.25">
      <c r="A103" s="109"/>
      <c r="B103" s="32" t="s">
        <v>242</v>
      </c>
      <c r="C103" s="592">
        <v>400000000</v>
      </c>
      <c r="D103" s="221">
        <v>232000000</v>
      </c>
      <c r="E103" s="117">
        <f t="shared" si="9"/>
        <v>57.999999999999993</v>
      </c>
      <c r="F103" s="114">
        <f t="shared" si="5"/>
        <v>57.999999999999993</v>
      </c>
      <c r="G103" s="111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</row>
    <row r="104" spans="1:30" s="104" customFormat="1" ht="14.25" customHeight="1" x14ac:dyDescent="0.25">
      <c r="A104" s="109"/>
      <c r="B104" s="111"/>
      <c r="C104" s="582"/>
      <c r="D104" s="778"/>
      <c r="E104" s="117"/>
      <c r="F104" s="114"/>
      <c r="G104" s="111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</row>
    <row r="105" spans="1:30" s="104" customFormat="1" ht="20.100000000000001" customHeight="1" x14ac:dyDescent="0.25">
      <c r="A105" s="109"/>
      <c r="B105" s="48" t="s">
        <v>3999</v>
      </c>
      <c r="C105" s="593">
        <f t="shared" ref="C105:E106" si="10">+C106</f>
        <v>1378500000</v>
      </c>
      <c r="D105" s="779">
        <f>+D106</f>
        <v>1286069003</v>
      </c>
      <c r="E105" s="114">
        <f>+D105/C105*100</f>
        <v>93.294813420384472</v>
      </c>
      <c r="F105" s="114">
        <f t="shared" si="5"/>
        <v>93.294813420384472</v>
      </c>
      <c r="G105" s="111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</row>
    <row r="106" spans="1:30" s="104" customFormat="1" ht="20.100000000000001" customHeight="1" x14ac:dyDescent="0.25">
      <c r="A106" s="109"/>
      <c r="B106" s="48" t="s">
        <v>221</v>
      </c>
      <c r="C106" s="593">
        <f t="shared" si="10"/>
        <v>1378500000</v>
      </c>
      <c r="D106" s="779">
        <f>+D107</f>
        <v>1286069003</v>
      </c>
      <c r="E106" s="114">
        <f t="shared" si="10"/>
        <v>93.294813420384472</v>
      </c>
      <c r="F106" s="114">
        <f t="shared" si="5"/>
        <v>93.294813420384472</v>
      </c>
      <c r="G106" s="111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</row>
    <row r="107" spans="1:30" s="104" customFormat="1" ht="20.100000000000001" customHeight="1" x14ac:dyDescent="0.25">
      <c r="A107" s="109"/>
      <c r="B107" s="32" t="s">
        <v>256</v>
      </c>
      <c r="C107" s="233">
        <v>1378500000</v>
      </c>
      <c r="D107" s="780">
        <v>1286069003</v>
      </c>
      <c r="E107" s="235">
        <f t="shared" ref="E107" si="11">+D107/C107*100</f>
        <v>93.294813420384472</v>
      </c>
      <c r="F107" s="114">
        <f t="shared" si="5"/>
        <v>93.294813420384472</v>
      </c>
      <c r="G107" s="111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</row>
    <row r="108" spans="1:30" s="104" customFormat="1" ht="20.100000000000001" hidden="1" customHeight="1" x14ac:dyDescent="0.25">
      <c r="A108" s="109"/>
      <c r="B108" s="111"/>
      <c r="C108" s="582"/>
      <c r="D108" s="778"/>
      <c r="E108" s="117"/>
      <c r="F108" s="114"/>
      <c r="G108" s="111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</row>
    <row r="109" spans="1:30" s="104" customFormat="1" ht="14.25" customHeight="1" x14ac:dyDescent="0.25">
      <c r="A109" s="109"/>
      <c r="B109" s="32"/>
      <c r="C109" s="592"/>
      <c r="D109" s="778"/>
      <c r="E109" s="117"/>
      <c r="F109" s="114"/>
      <c r="G109" s="111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</row>
    <row r="110" spans="1:30" s="104" customFormat="1" ht="20.100000000000001" customHeight="1" x14ac:dyDescent="0.25">
      <c r="A110" s="109"/>
      <c r="B110" s="48" t="s">
        <v>258</v>
      </c>
      <c r="C110" s="593">
        <f>+C111</f>
        <v>974759140</v>
      </c>
      <c r="D110" s="778">
        <f>+D111</f>
        <v>974699140</v>
      </c>
      <c r="E110" s="117">
        <f>+E111</f>
        <v>99.993844633249608</v>
      </c>
      <c r="F110" s="114">
        <f t="shared" si="5"/>
        <v>99.993844633249608</v>
      </c>
      <c r="G110" s="111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</row>
    <row r="111" spans="1:30" s="104" customFormat="1" ht="20.100000000000001" customHeight="1" x14ac:dyDescent="0.25">
      <c r="A111" s="109"/>
      <c r="B111" s="48" t="s">
        <v>266</v>
      </c>
      <c r="C111" s="593">
        <f>+C112</f>
        <v>974759140</v>
      </c>
      <c r="D111" s="778">
        <f>+D112</f>
        <v>974699140</v>
      </c>
      <c r="E111" s="117">
        <f>+D111/C111*100</f>
        <v>99.993844633249608</v>
      </c>
      <c r="F111" s="117">
        <f t="shared" si="5"/>
        <v>99.993844633249608</v>
      </c>
      <c r="G111" s="111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</row>
    <row r="112" spans="1:30" s="104" customFormat="1" ht="20.100000000000001" customHeight="1" x14ac:dyDescent="0.25">
      <c r="A112" s="109"/>
      <c r="B112" s="32" t="s">
        <v>267</v>
      </c>
      <c r="C112" s="592">
        <v>974759140</v>
      </c>
      <c r="D112" s="221">
        <v>974699140</v>
      </c>
      <c r="E112" s="235">
        <f t="shared" ref="E112" si="12">+D112/C112*100</f>
        <v>99.993844633249608</v>
      </c>
      <c r="F112" s="117">
        <f t="shared" si="5"/>
        <v>99.993844633249608</v>
      </c>
      <c r="G112" s="111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</row>
    <row r="113" spans="1:30" s="104" customFormat="1" ht="8.25" customHeight="1" x14ac:dyDescent="0.25">
      <c r="A113" s="109"/>
      <c r="B113" s="32"/>
      <c r="C113" s="592"/>
      <c r="D113" s="778"/>
      <c r="E113" s="117"/>
      <c r="F113" s="114"/>
      <c r="G113" s="111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</row>
    <row r="114" spans="1:30" s="104" customFormat="1" ht="20.100000000000001" customHeight="1" x14ac:dyDescent="0.25">
      <c r="A114" s="109"/>
      <c r="B114" s="48" t="s">
        <v>274</v>
      </c>
      <c r="C114" s="593">
        <f>+C115+C119+C121</f>
        <v>976541595</v>
      </c>
      <c r="D114" s="779">
        <f>+D115+D119+D121</f>
        <v>970959595</v>
      </c>
      <c r="E114" s="114">
        <f>+D114/C114*100</f>
        <v>99.428390963725406</v>
      </c>
      <c r="F114" s="114">
        <f t="shared" si="5"/>
        <v>99.428390963725406</v>
      </c>
      <c r="G114" s="111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</row>
    <row r="115" spans="1:30" s="104" customFormat="1" ht="20.100000000000001" customHeight="1" x14ac:dyDescent="0.25">
      <c r="A115" s="109"/>
      <c r="B115" s="48" t="s">
        <v>275</v>
      </c>
      <c r="C115" s="593">
        <f>+C116+C117+C118</f>
        <v>674750000</v>
      </c>
      <c r="D115" s="779">
        <f>+D116+D117+D118</f>
        <v>669168000</v>
      </c>
      <c r="E115" s="114">
        <f>+D115/C115*100</f>
        <v>99.172730640978131</v>
      </c>
      <c r="F115" s="114">
        <f t="shared" si="5"/>
        <v>99.172730640978131</v>
      </c>
      <c r="G115" s="111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</row>
    <row r="116" spans="1:30" s="104" customFormat="1" ht="20.100000000000001" customHeight="1" x14ac:dyDescent="0.25">
      <c r="A116" s="109"/>
      <c r="B116" s="32" t="s">
        <v>276</v>
      </c>
      <c r="C116" s="592">
        <v>487500000</v>
      </c>
      <c r="D116" s="221">
        <v>487460000</v>
      </c>
      <c r="E116" s="235">
        <f t="shared" ref="E116:E118" si="13">+D116/C116*100</f>
        <v>99.991794871794866</v>
      </c>
      <c r="F116" s="117">
        <f t="shared" si="5"/>
        <v>99.991794871794866</v>
      </c>
      <c r="G116" s="111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</row>
    <row r="117" spans="1:30" s="104" customFormat="1" ht="20.100000000000001" customHeight="1" x14ac:dyDescent="0.25">
      <c r="A117" s="109"/>
      <c r="B117" s="32" t="s">
        <v>277</v>
      </c>
      <c r="C117" s="592">
        <v>98550000</v>
      </c>
      <c r="D117" s="221">
        <v>98350000</v>
      </c>
      <c r="E117" s="235">
        <f t="shared" si="13"/>
        <v>99.797057331303904</v>
      </c>
      <c r="F117" s="117">
        <f t="shared" si="5"/>
        <v>99.797057331303904</v>
      </c>
      <c r="G117" s="111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</row>
    <row r="118" spans="1:30" s="104" customFormat="1" ht="20.100000000000001" customHeight="1" x14ac:dyDescent="0.25">
      <c r="A118" s="109"/>
      <c r="B118" s="32" t="s">
        <v>280</v>
      </c>
      <c r="C118" s="592">
        <v>88700000</v>
      </c>
      <c r="D118" s="221">
        <v>83358000</v>
      </c>
      <c r="E118" s="235">
        <f t="shared" si="13"/>
        <v>93.977452085682074</v>
      </c>
      <c r="F118" s="117">
        <f t="shared" si="5"/>
        <v>93.977452085682074</v>
      </c>
      <c r="G118" s="111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</row>
    <row r="119" spans="1:30" s="104" customFormat="1" ht="20.100000000000001" customHeight="1" x14ac:dyDescent="0.25">
      <c r="A119" s="109"/>
      <c r="B119" s="48" t="s">
        <v>286</v>
      </c>
      <c r="C119" s="593">
        <f>+C120</f>
        <v>81150000</v>
      </c>
      <c r="D119" s="779">
        <f>+D120</f>
        <v>81150000</v>
      </c>
      <c r="E119" s="114">
        <f>+D119/C119*100</f>
        <v>100</v>
      </c>
      <c r="F119" s="114">
        <f t="shared" si="5"/>
        <v>100</v>
      </c>
      <c r="G119" s="111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</row>
    <row r="120" spans="1:30" s="104" customFormat="1" ht="20.100000000000001" customHeight="1" x14ac:dyDescent="0.25">
      <c r="A120" s="109"/>
      <c r="B120" s="32" t="s">
        <v>287</v>
      </c>
      <c r="C120" s="592">
        <v>81150000</v>
      </c>
      <c r="D120" s="221">
        <v>81150000</v>
      </c>
      <c r="E120" s="235">
        <f t="shared" ref="E120" si="14">+D120/C120*100</f>
        <v>100</v>
      </c>
      <c r="F120" s="117">
        <f t="shared" si="5"/>
        <v>100</v>
      </c>
      <c r="G120" s="111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</row>
    <row r="121" spans="1:30" s="104" customFormat="1" ht="20.100000000000001" customHeight="1" x14ac:dyDescent="0.25">
      <c r="A121" s="109"/>
      <c r="B121" s="48" t="s">
        <v>294</v>
      </c>
      <c r="C121" s="593">
        <f>+C122+C123</f>
        <v>220641595</v>
      </c>
      <c r="D121" s="779">
        <f>+D122+D123</f>
        <v>220641595</v>
      </c>
      <c r="E121" s="114">
        <f>+E122</f>
        <v>100</v>
      </c>
      <c r="F121" s="114">
        <f t="shared" si="5"/>
        <v>100</v>
      </c>
      <c r="G121" s="111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</row>
    <row r="122" spans="1:30" s="104" customFormat="1" ht="20.100000000000001" customHeight="1" x14ac:dyDescent="0.25">
      <c r="A122" s="109"/>
      <c r="B122" s="32" t="s">
        <v>295</v>
      </c>
      <c r="C122" s="592">
        <v>93141595</v>
      </c>
      <c r="D122" s="221">
        <v>93141595</v>
      </c>
      <c r="E122" s="235">
        <f t="shared" ref="E122:E123" si="15">+D122/C122*100</f>
        <v>100</v>
      </c>
      <c r="F122" s="117">
        <f t="shared" si="5"/>
        <v>100</v>
      </c>
      <c r="G122" s="111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</row>
    <row r="123" spans="1:30" s="104" customFormat="1" ht="20.100000000000001" customHeight="1" x14ac:dyDescent="0.25">
      <c r="A123" s="109"/>
      <c r="B123" s="32" t="s">
        <v>296</v>
      </c>
      <c r="C123" s="592">
        <v>127500000</v>
      </c>
      <c r="D123" s="221">
        <v>127500000</v>
      </c>
      <c r="E123" s="235">
        <f t="shared" si="15"/>
        <v>100</v>
      </c>
      <c r="F123" s="117">
        <f t="shared" si="5"/>
        <v>100</v>
      </c>
      <c r="G123" s="111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</row>
    <row r="124" spans="1:30" s="104" customFormat="1" ht="8.25" customHeight="1" x14ac:dyDescent="0.25">
      <c r="A124" s="109"/>
      <c r="B124" s="32"/>
      <c r="C124" s="592"/>
      <c r="D124" s="778"/>
      <c r="E124" s="117"/>
      <c r="F124" s="114"/>
      <c r="G124" s="111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</row>
    <row r="125" spans="1:30" s="104" customFormat="1" ht="20.100000000000001" customHeight="1" x14ac:dyDescent="0.25">
      <c r="A125" s="109"/>
      <c r="B125" s="48" t="s">
        <v>298</v>
      </c>
      <c r="C125" s="593">
        <f>+C126+C130+C132</f>
        <v>2957825000</v>
      </c>
      <c r="D125" s="779">
        <f>+D126+D130+D132</f>
        <v>2940861400</v>
      </c>
      <c r="E125" s="114">
        <f>+D125/C125*100</f>
        <v>99.426483987389375</v>
      </c>
      <c r="F125" s="114">
        <f t="shared" si="5"/>
        <v>99.426483987389375</v>
      </c>
      <c r="G125" s="111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</row>
    <row r="126" spans="1:30" s="104" customFormat="1" ht="20.100000000000001" customHeight="1" x14ac:dyDescent="0.25">
      <c r="A126" s="109"/>
      <c r="B126" s="48" t="s">
        <v>299</v>
      </c>
      <c r="C126" s="593">
        <f>+C127+C128+C129</f>
        <v>986800000</v>
      </c>
      <c r="D126" s="779">
        <f>+D127+D128+D129</f>
        <v>982593400</v>
      </c>
      <c r="E126" s="114">
        <f>+E127</f>
        <v>100</v>
      </c>
      <c r="F126" s="114">
        <f t="shared" si="5"/>
        <v>100</v>
      </c>
      <c r="G126" s="111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</row>
    <row r="127" spans="1:30" s="104" customFormat="1" ht="20.100000000000001" customHeight="1" x14ac:dyDescent="0.25">
      <c r="A127" s="109"/>
      <c r="B127" s="32" t="s">
        <v>300</v>
      </c>
      <c r="C127" s="592">
        <v>334650000</v>
      </c>
      <c r="D127" s="221">
        <v>334650000</v>
      </c>
      <c r="E127" s="235">
        <f t="shared" ref="E127:E129" si="16">+D127/C127*100</f>
        <v>100</v>
      </c>
      <c r="F127" s="117">
        <f t="shared" si="5"/>
        <v>100</v>
      </c>
      <c r="G127" s="111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</row>
    <row r="128" spans="1:30" s="104" customFormat="1" ht="20.100000000000001" customHeight="1" x14ac:dyDescent="0.25">
      <c r="A128" s="109"/>
      <c r="B128" s="32" t="s">
        <v>303</v>
      </c>
      <c r="C128" s="592">
        <v>452150000</v>
      </c>
      <c r="D128" s="221">
        <v>447943400</v>
      </c>
      <c r="E128" s="235">
        <f t="shared" si="16"/>
        <v>99.069645029304425</v>
      </c>
      <c r="F128" s="117">
        <f t="shared" si="5"/>
        <v>99.069645029304425</v>
      </c>
      <c r="G128" s="111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</row>
    <row r="129" spans="1:30" s="104" customFormat="1" ht="20.100000000000001" customHeight="1" x14ac:dyDescent="0.25">
      <c r="A129" s="109"/>
      <c r="B129" s="32" t="s">
        <v>304</v>
      </c>
      <c r="C129" s="592">
        <v>200000000</v>
      </c>
      <c r="D129" s="221">
        <v>200000000</v>
      </c>
      <c r="E129" s="235">
        <f t="shared" si="16"/>
        <v>100</v>
      </c>
      <c r="F129" s="117">
        <f t="shared" si="5"/>
        <v>100</v>
      </c>
      <c r="G129" s="111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</row>
    <row r="130" spans="1:30" s="104" customFormat="1" ht="20.100000000000001" customHeight="1" x14ac:dyDescent="0.25">
      <c r="A130" s="109"/>
      <c r="B130" s="217" t="s">
        <v>305</v>
      </c>
      <c r="C130" s="593">
        <f>+C131</f>
        <v>468600000</v>
      </c>
      <c r="D130" s="779">
        <f>+D131</f>
        <v>466600000</v>
      </c>
      <c r="E130" s="114">
        <f>+E131</f>
        <v>99.573196756295346</v>
      </c>
      <c r="F130" s="114">
        <f t="shared" si="5"/>
        <v>99.573196756295346</v>
      </c>
      <c r="G130" s="111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</row>
    <row r="131" spans="1:30" s="104" customFormat="1" ht="20.100000000000001" customHeight="1" x14ac:dyDescent="0.25">
      <c r="A131" s="109"/>
      <c r="B131" s="32" t="s">
        <v>310</v>
      </c>
      <c r="C131" s="592">
        <v>468600000</v>
      </c>
      <c r="D131" s="221">
        <v>466600000</v>
      </c>
      <c r="E131" s="235">
        <f t="shared" ref="E131" si="17">+D131/C131*100</f>
        <v>99.573196756295346</v>
      </c>
      <c r="F131" s="117">
        <f t="shared" si="5"/>
        <v>99.573196756295346</v>
      </c>
      <c r="G131" s="111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</row>
    <row r="132" spans="1:30" s="104" customFormat="1" ht="20.100000000000001" customHeight="1" x14ac:dyDescent="0.25">
      <c r="A132" s="109"/>
      <c r="B132" s="48" t="s">
        <v>311</v>
      </c>
      <c r="C132" s="593">
        <f>+C133+C134+C135</f>
        <v>1502425000</v>
      </c>
      <c r="D132" s="779">
        <f>+D133+D134+D135</f>
        <v>1491668000</v>
      </c>
      <c r="E132" s="114">
        <f>+D132/C132*100</f>
        <v>99.284024160939808</v>
      </c>
      <c r="F132" s="114">
        <f t="shared" si="5"/>
        <v>99.284024160939808</v>
      </c>
      <c r="G132" s="111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</row>
    <row r="133" spans="1:30" s="104" customFormat="1" ht="20.100000000000001" customHeight="1" x14ac:dyDescent="0.25">
      <c r="A133" s="109"/>
      <c r="B133" s="32" t="s">
        <v>312</v>
      </c>
      <c r="C133" s="592">
        <v>252650000</v>
      </c>
      <c r="D133" s="221">
        <v>250283000</v>
      </c>
      <c r="E133" s="235">
        <f t="shared" ref="E133:E135" si="18">+D133/C133*100</f>
        <v>99.06313081337818</v>
      </c>
      <c r="F133" s="117">
        <f t="shared" si="5"/>
        <v>99.06313081337818</v>
      </c>
      <c r="G133" s="111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</row>
    <row r="134" spans="1:30" s="104" customFormat="1" ht="20.100000000000001" customHeight="1" x14ac:dyDescent="0.25">
      <c r="A134" s="109"/>
      <c r="B134" s="32" t="s">
        <v>313</v>
      </c>
      <c r="C134" s="592">
        <v>249775000</v>
      </c>
      <c r="D134" s="221">
        <v>249775000</v>
      </c>
      <c r="E134" s="235">
        <f t="shared" si="18"/>
        <v>100</v>
      </c>
      <c r="F134" s="117">
        <f t="shared" si="5"/>
        <v>100</v>
      </c>
      <c r="G134" s="111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</row>
    <row r="135" spans="1:30" s="104" customFormat="1" ht="20.100000000000001" customHeight="1" x14ac:dyDescent="0.25">
      <c r="A135" s="109"/>
      <c r="B135" s="32" t="s">
        <v>314</v>
      </c>
      <c r="C135" s="592">
        <v>1000000000</v>
      </c>
      <c r="D135" s="221">
        <v>991610000</v>
      </c>
      <c r="E135" s="235">
        <f t="shared" si="18"/>
        <v>99.161000000000001</v>
      </c>
      <c r="F135" s="117">
        <f t="shared" si="5"/>
        <v>99.161000000000001</v>
      </c>
      <c r="G135" s="111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</row>
    <row r="136" spans="1:30" s="104" customFormat="1" ht="9.75" customHeight="1" x14ac:dyDescent="0.25">
      <c r="A136" s="109"/>
      <c r="B136" s="32"/>
      <c r="C136" s="592"/>
      <c r="D136" s="778"/>
      <c r="E136" s="117"/>
      <c r="F136" s="114"/>
      <c r="G136" s="111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</row>
    <row r="137" spans="1:30" s="104" customFormat="1" ht="20.100000000000001" customHeight="1" x14ac:dyDescent="0.25">
      <c r="A137" s="109"/>
      <c r="B137" s="48" t="s">
        <v>348</v>
      </c>
      <c r="C137" s="593">
        <f>+C138+C140+C142</f>
        <v>1680650000</v>
      </c>
      <c r="D137" s="779">
        <f>+D138+D140</f>
        <v>936380862</v>
      </c>
      <c r="E137" s="114">
        <f>+D137/C137*100</f>
        <v>55.715399518043618</v>
      </c>
      <c r="F137" s="114">
        <f t="shared" si="5"/>
        <v>55.715399518043618</v>
      </c>
      <c r="G137" s="111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</row>
    <row r="138" spans="1:30" s="104" customFormat="1" ht="20.100000000000001" customHeight="1" x14ac:dyDescent="0.25">
      <c r="A138" s="109"/>
      <c r="B138" s="48" t="s">
        <v>354</v>
      </c>
      <c r="C138" s="593">
        <f>+C139</f>
        <v>350050000</v>
      </c>
      <c r="D138" s="779">
        <f>+D139</f>
        <v>345859707</v>
      </c>
      <c r="E138" s="114">
        <f>+D138/C138*100</f>
        <v>98.802944436509065</v>
      </c>
      <c r="F138" s="114">
        <f t="shared" si="5"/>
        <v>98.802944436509065</v>
      </c>
      <c r="G138" s="111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</row>
    <row r="139" spans="1:30" s="104" customFormat="1" ht="20.100000000000001" customHeight="1" x14ac:dyDescent="0.25">
      <c r="A139" s="109"/>
      <c r="B139" s="32" t="s">
        <v>355</v>
      </c>
      <c r="C139" s="592">
        <v>350050000</v>
      </c>
      <c r="D139" s="221">
        <v>345859707</v>
      </c>
      <c r="E139" s="235">
        <f t="shared" ref="E139" si="19">+D139/C139*100</f>
        <v>98.802944436509065</v>
      </c>
      <c r="F139" s="117">
        <f t="shared" si="5"/>
        <v>98.802944436509065</v>
      </c>
      <c r="G139" s="111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</row>
    <row r="140" spans="1:30" s="104" customFormat="1" ht="20.100000000000001" customHeight="1" x14ac:dyDescent="0.25">
      <c r="A140" s="109"/>
      <c r="B140" s="48" t="s">
        <v>356</v>
      </c>
      <c r="C140" s="593">
        <f>+C141</f>
        <v>590600000</v>
      </c>
      <c r="D140" s="779">
        <f>+D141</f>
        <v>590521155</v>
      </c>
      <c r="E140" s="114">
        <f>+D140/C140*100</f>
        <v>99.986650016931932</v>
      </c>
      <c r="F140" s="114">
        <f t="shared" si="5"/>
        <v>99.986650016931932</v>
      </c>
      <c r="G140" s="111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</row>
    <row r="141" spans="1:30" s="104" customFormat="1" ht="20.100000000000001" customHeight="1" x14ac:dyDescent="0.25">
      <c r="A141" s="109"/>
      <c r="B141" s="32" t="s">
        <v>357</v>
      </c>
      <c r="C141" s="592">
        <v>590600000</v>
      </c>
      <c r="D141" s="221">
        <v>590521155</v>
      </c>
      <c r="E141" s="235">
        <f t="shared" ref="E141" si="20">+D141/C141*100</f>
        <v>99.986650016931932</v>
      </c>
      <c r="F141" s="117">
        <f t="shared" si="5"/>
        <v>99.986650016931932</v>
      </c>
      <c r="G141" s="111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</row>
    <row r="142" spans="1:30" s="104" customFormat="1" ht="20.100000000000001" customHeight="1" x14ac:dyDescent="0.25">
      <c r="A142" s="109"/>
      <c r="B142" s="48" t="s">
        <v>4185</v>
      </c>
      <c r="C142" s="593">
        <f>+C143</f>
        <v>740000000</v>
      </c>
      <c r="D142" s="221"/>
      <c r="E142" s="235"/>
      <c r="F142" s="114"/>
      <c r="G142" s="111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</row>
    <row r="143" spans="1:30" s="104" customFormat="1" ht="20.100000000000001" customHeight="1" x14ac:dyDescent="0.25">
      <c r="A143" s="109"/>
      <c r="B143" s="32" t="s">
        <v>414</v>
      </c>
      <c r="C143" s="592">
        <v>740000000</v>
      </c>
      <c r="D143" s="221"/>
      <c r="E143" s="235"/>
      <c r="F143" s="114"/>
      <c r="G143" s="111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/>
      <c r="AD143" s="80"/>
    </row>
    <row r="144" spans="1:30" s="104" customFormat="1" ht="8.25" customHeight="1" x14ac:dyDescent="0.25">
      <c r="A144" s="109"/>
      <c r="B144" s="32"/>
      <c r="C144" s="592"/>
      <c r="D144" s="778"/>
      <c r="E144" s="117"/>
      <c r="F144" s="114"/>
      <c r="G144" s="111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</row>
    <row r="145" spans="1:30" s="104" customFormat="1" ht="20.100000000000001" customHeight="1" x14ac:dyDescent="0.25">
      <c r="A145" s="109"/>
      <c r="B145" s="48" t="s">
        <v>363</v>
      </c>
      <c r="C145" s="593">
        <f>+C146</f>
        <v>832043169</v>
      </c>
      <c r="D145" s="778">
        <f>+D146</f>
        <v>830786969</v>
      </c>
      <c r="E145" s="235">
        <f t="shared" ref="E145:E149" si="21">+D145/C145*100</f>
        <v>99.849022256680527</v>
      </c>
      <c r="F145" s="114">
        <f t="shared" si="5"/>
        <v>99.849022256680527</v>
      </c>
      <c r="G145" s="111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</row>
    <row r="146" spans="1:30" s="104" customFormat="1" ht="20.100000000000001" customHeight="1" x14ac:dyDescent="0.25">
      <c r="A146" s="109"/>
      <c r="B146" s="48" t="s">
        <v>370</v>
      </c>
      <c r="C146" s="593">
        <f>+C147+C148+C149</f>
        <v>832043169</v>
      </c>
      <c r="D146" s="778">
        <f>+D147+D148+D149</f>
        <v>830786969</v>
      </c>
      <c r="E146" s="235">
        <f t="shared" si="21"/>
        <v>99.849022256680527</v>
      </c>
      <c r="F146" s="114">
        <f t="shared" si="5"/>
        <v>99.849022256680527</v>
      </c>
      <c r="G146" s="111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</row>
    <row r="147" spans="1:30" s="104" customFormat="1" ht="20.100000000000001" customHeight="1" x14ac:dyDescent="0.25">
      <c r="A147" s="109"/>
      <c r="B147" s="32" t="s">
        <v>371</v>
      </c>
      <c r="C147" s="592">
        <v>383200000</v>
      </c>
      <c r="D147" s="221">
        <v>382544000</v>
      </c>
      <c r="E147" s="235">
        <f t="shared" si="21"/>
        <v>99.82881002087683</v>
      </c>
      <c r="F147" s="117">
        <f t="shared" si="5"/>
        <v>99.82881002087683</v>
      </c>
      <c r="G147" s="111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</row>
    <row r="148" spans="1:30" s="104" customFormat="1" ht="20.100000000000001" customHeight="1" x14ac:dyDescent="0.25">
      <c r="A148" s="109"/>
      <c r="B148" s="32" t="s">
        <v>377</v>
      </c>
      <c r="C148" s="592">
        <v>172055000</v>
      </c>
      <c r="D148" s="221">
        <v>171979900</v>
      </c>
      <c r="E148" s="235">
        <f t="shared" si="21"/>
        <v>99.956351166778063</v>
      </c>
      <c r="F148" s="117">
        <f t="shared" si="5"/>
        <v>99.956351166778063</v>
      </c>
      <c r="G148" s="111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</row>
    <row r="149" spans="1:30" s="104" customFormat="1" ht="20.100000000000001" customHeight="1" x14ac:dyDescent="0.25">
      <c r="A149" s="109"/>
      <c r="B149" s="119" t="s">
        <v>379</v>
      </c>
      <c r="C149" s="592">
        <v>276788169</v>
      </c>
      <c r="D149" s="221">
        <v>276263069</v>
      </c>
      <c r="E149" s="235">
        <f t="shared" si="21"/>
        <v>99.810288134100119</v>
      </c>
      <c r="F149" s="117">
        <f t="shared" si="5"/>
        <v>99.810288134100119</v>
      </c>
      <c r="G149" s="111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</row>
    <row r="150" spans="1:30" s="104" customFormat="1" ht="8.25" customHeight="1" x14ac:dyDescent="0.25">
      <c r="A150" s="109"/>
      <c r="B150" s="32"/>
      <c r="C150" s="592"/>
      <c r="D150" s="778"/>
      <c r="E150" s="117"/>
      <c r="F150" s="114"/>
      <c r="G150" s="111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</row>
    <row r="151" spans="1:30" s="104" customFormat="1" ht="20.100000000000001" customHeight="1" x14ac:dyDescent="0.25">
      <c r="A151" s="109"/>
      <c r="B151" s="48" t="s">
        <v>380</v>
      </c>
      <c r="C151" s="593">
        <f>+C152</f>
        <v>200000000</v>
      </c>
      <c r="D151" s="779">
        <f>+D152</f>
        <v>183950000</v>
      </c>
      <c r="E151" s="114">
        <f>+D151/C151*100</f>
        <v>91.974999999999994</v>
      </c>
      <c r="F151" s="114">
        <f t="shared" ref="F151:F213" si="22">+E151</f>
        <v>91.974999999999994</v>
      </c>
      <c r="G151" s="111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/>
      <c r="AD151" s="80"/>
    </row>
    <row r="152" spans="1:30" s="104" customFormat="1" ht="20.100000000000001" customHeight="1" x14ac:dyDescent="0.25">
      <c r="A152" s="109"/>
      <c r="B152" s="48" t="s">
        <v>388</v>
      </c>
      <c r="C152" s="593">
        <f>+C153</f>
        <v>200000000</v>
      </c>
      <c r="D152" s="779">
        <f>+D153</f>
        <v>183950000</v>
      </c>
      <c r="E152" s="114">
        <f>+D152/C152*100</f>
        <v>91.974999999999994</v>
      </c>
      <c r="F152" s="114">
        <f t="shared" si="22"/>
        <v>91.974999999999994</v>
      </c>
      <c r="G152" s="111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</row>
    <row r="153" spans="1:30" s="104" customFormat="1" ht="20.100000000000001" customHeight="1" x14ac:dyDescent="0.25">
      <c r="A153" s="109"/>
      <c r="B153" s="119" t="s">
        <v>390</v>
      </c>
      <c r="C153" s="592">
        <v>200000000</v>
      </c>
      <c r="D153" s="221">
        <v>183950000</v>
      </c>
      <c r="E153" s="235">
        <f t="shared" ref="E153" si="23">+D153/C153*100</f>
        <v>91.974999999999994</v>
      </c>
      <c r="F153" s="117">
        <f t="shared" si="22"/>
        <v>91.974999999999994</v>
      </c>
      <c r="G153" s="111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80"/>
      <c r="AC153" s="80"/>
      <c r="AD153" s="80"/>
    </row>
    <row r="154" spans="1:30" s="104" customFormat="1" ht="8.25" customHeight="1" x14ac:dyDescent="0.25">
      <c r="A154" s="109"/>
      <c r="B154" s="32"/>
      <c r="C154" s="592"/>
      <c r="D154" s="778"/>
      <c r="E154" s="117"/>
      <c r="F154" s="114"/>
      <c r="G154" s="111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</row>
    <row r="155" spans="1:30" s="104" customFormat="1" ht="20.100000000000001" customHeight="1" x14ac:dyDescent="0.25">
      <c r="A155" s="109"/>
      <c r="B155" s="48" t="s">
        <v>415</v>
      </c>
      <c r="C155" s="593">
        <f>+C156</f>
        <v>656000000</v>
      </c>
      <c r="D155" s="779">
        <f>+D156</f>
        <v>576000000</v>
      </c>
      <c r="E155" s="114">
        <f>+D155/C155*100</f>
        <v>87.804878048780495</v>
      </c>
      <c r="F155" s="114">
        <f t="shared" si="22"/>
        <v>87.804878048780495</v>
      </c>
      <c r="G155" s="111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</row>
    <row r="156" spans="1:30" s="104" customFormat="1" ht="20.100000000000001" customHeight="1" x14ac:dyDescent="0.25">
      <c r="A156" s="109"/>
      <c r="B156" s="48" t="s">
        <v>153</v>
      </c>
      <c r="C156" s="593">
        <f>+C157</f>
        <v>656000000</v>
      </c>
      <c r="D156" s="779">
        <f>+D157</f>
        <v>576000000</v>
      </c>
      <c r="E156" s="114">
        <f>+D156/C156*100</f>
        <v>87.804878048780495</v>
      </c>
      <c r="F156" s="114">
        <f t="shared" si="22"/>
        <v>87.804878048780495</v>
      </c>
      <c r="G156" s="111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</row>
    <row r="157" spans="1:30" s="104" customFormat="1" ht="20.100000000000001" customHeight="1" x14ac:dyDescent="0.25">
      <c r="A157" s="109"/>
      <c r="B157" s="32" t="s">
        <v>154</v>
      </c>
      <c r="C157" s="594">
        <v>656000000</v>
      </c>
      <c r="D157" s="108">
        <v>576000000</v>
      </c>
      <c r="E157" s="235">
        <f t="shared" ref="E157" si="24">+D157/C157*100</f>
        <v>87.804878048780495</v>
      </c>
      <c r="F157" s="117">
        <f t="shared" si="22"/>
        <v>87.804878048780495</v>
      </c>
      <c r="G157" s="111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80"/>
      <c r="AC157" s="80"/>
      <c r="AD157" s="80"/>
    </row>
    <row r="158" spans="1:30" s="104" customFormat="1" ht="5.25" customHeight="1" x14ac:dyDescent="0.25">
      <c r="A158" s="109"/>
      <c r="B158" s="32"/>
      <c r="C158" s="592"/>
      <c r="D158" s="778"/>
      <c r="E158" s="117"/>
      <c r="F158" s="114"/>
      <c r="G158" s="111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</row>
    <row r="159" spans="1:30" s="104" customFormat="1" ht="20.100000000000001" customHeight="1" x14ac:dyDescent="0.25">
      <c r="A159" s="109"/>
      <c r="B159" s="48" t="s">
        <v>429</v>
      </c>
      <c r="C159" s="593">
        <f>+C160+C162+C167+C169</f>
        <v>2089325000</v>
      </c>
      <c r="D159" s="779">
        <f>+D160+D162+D167+D169</f>
        <v>2017107032</v>
      </c>
      <c r="E159" s="114">
        <f>+D159/C159*100</f>
        <v>96.543478491857414</v>
      </c>
      <c r="F159" s="114">
        <f t="shared" si="22"/>
        <v>96.543478491857414</v>
      </c>
      <c r="G159" s="111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</row>
    <row r="160" spans="1:30" s="104" customFormat="1" ht="20.100000000000001" customHeight="1" x14ac:dyDescent="0.25">
      <c r="A160" s="109"/>
      <c r="B160" s="48" t="s">
        <v>430</v>
      </c>
      <c r="C160" s="593">
        <f>+C161</f>
        <v>270000000</v>
      </c>
      <c r="D160" s="779">
        <f>+D161</f>
        <v>257213532</v>
      </c>
      <c r="E160" s="117">
        <f t="shared" ref="E160:E166" si="25">+D160/C160*100</f>
        <v>95.264271111111114</v>
      </c>
      <c r="F160" s="117">
        <f t="shared" si="22"/>
        <v>95.264271111111114</v>
      </c>
      <c r="G160" s="111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</row>
    <row r="161" spans="1:30" s="104" customFormat="1" ht="20.100000000000001" customHeight="1" x14ac:dyDescent="0.25">
      <c r="A161" s="109"/>
      <c r="B161" s="32" t="s">
        <v>434</v>
      </c>
      <c r="C161" s="592">
        <v>270000000</v>
      </c>
      <c r="D161" s="221">
        <v>257213532</v>
      </c>
      <c r="E161" s="235">
        <f t="shared" si="25"/>
        <v>95.264271111111114</v>
      </c>
      <c r="F161" s="117">
        <f t="shared" si="22"/>
        <v>95.264271111111114</v>
      </c>
      <c r="G161" s="111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</row>
    <row r="162" spans="1:30" s="104" customFormat="1" ht="20.100000000000001" customHeight="1" x14ac:dyDescent="0.25">
      <c r="A162" s="109"/>
      <c r="B162" s="48" t="s">
        <v>441</v>
      </c>
      <c r="C162" s="593">
        <f>+C163+C164+C165+C166</f>
        <v>1100000000</v>
      </c>
      <c r="D162" s="779">
        <f>+D163+D164+D165+D166</f>
        <v>1061560500</v>
      </c>
      <c r="E162" s="114">
        <f t="shared" si="25"/>
        <v>96.505499999999998</v>
      </c>
      <c r="F162" s="114">
        <f t="shared" si="22"/>
        <v>96.505499999999998</v>
      </c>
      <c r="G162" s="111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</row>
    <row r="163" spans="1:30" s="104" customFormat="1" ht="20.100000000000001" customHeight="1" x14ac:dyDescent="0.25">
      <c r="A163" s="109"/>
      <c r="B163" s="32" t="s">
        <v>442</v>
      </c>
      <c r="C163" s="592">
        <v>300000000</v>
      </c>
      <c r="D163" s="221">
        <v>287096000</v>
      </c>
      <c r="E163" s="235">
        <f t="shared" si="25"/>
        <v>95.698666666666668</v>
      </c>
      <c r="F163" s="117">
        <f t="shared" si="22"/>
        <v>95.698666666666668</v>
      </c>
      <c r="G163" s="111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80"/>
      <c r="AB163" s="80"/>
      <c r="AC163" s="80"/>
      <c r="AD163" s="80"/>
    </row>
    <row r="164" spans="1:30" s="104" customFormat="1" ht="20.100000000000001" customHeight="1" x14ac:dyDescent="0.25">
      <c r="A164" s="109"/>
      <c r="B164" s="32" t="s">
        <v>443</v>
      </c>
      <c r="C164" s="592">
        <v>300000000</v>
      </c>
      <c r="D164" s="221">
        <v>287010000</v>
      </c>
      <c r="E164" s="235">
        <f t="shared" si="25"/>
        <v>95.67</v>
      </c>
      <c r="F164" s="117">
        <f t="shared" si="22"/>
        <v>95.67</v>
      </c>
      <c r="G164" s="111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80"/>
      <c r="AB164" s="80"/>
      <c r="AC164" s="80"/>
      <c r="AD164" s="80"/>
    </row>
    <row r="165" spans="1:30" s="104" customFormat="1" ht="20.100000000000001" customHeight="1" x14ac:dyDescent="0.25">
      <c r="A165" s="109"/>
      <c r="B165" s="32" t="s">
        <v>444</v>
      </c>
      <c r="C165" s="592">
        <v>300000000</v>
      </c>
      <c r="D165" s="221">
        <v>287587000</v>
      </c>
      <c r="E165" s="235">
        <f t="shared" si="25"/>
        <v>95.862333333333339</v>
      </c>
      <c r="F165" s="117">
        <f t="shared" si="22"/>
        <v>95.862333333333339</v>
      </c>
      <c r="G165" s="111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</row>
    <row r="166" spans="1:30" s="104" customFormat="1" ht="20.100000000000001" customHeight="1" x14ac:dyDescent="0.25">
      <c r="A166" s="109"/>
      <c r="B166" s="32" t="s">
        <v>446</v>
      </c>
      <c r="C166" s="592">
        <v>200000000</v>
      </c>
      <c r="D166" s="221">
        <v>199867500</v>
      </c>
      <c r="E166" s="235">
        <f t="shared" si="25"/>
        <v>99.933750000000003</v>
      </c>
      <c r="F166" s="117">
        <f t="shared" si="22"/>
        <v>99.933750000000003</v>
      </c>
      <c r="G166" s="111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</row>
    <row r="167" spans="1:30" s="104" customFormat="1" ht="20.100000000000001" customHeight="1" x14ac:dyDescent="0.25">
      <c r="A167" s="109"/>
      <c r="B167" s="48" t="s">
        <v>436</v>
      </c>
      <c r="C167" s="593">
        <f>+C168</f>
        <v>500000000</v>
      </c>
      <c r="D167" s="779">
        <f>+D168</f>
        <v>479853000</v>
      </c>
      <c r="E167" s="114">
        <f>+D167/C167*100</f>
        <v>95.97059999999999</v>
      </c>
      <c r="F167" s="114">
        <f t="shared" si="22"/>
        <v>95.97059999999999</v>
      </c>
      <c r="G167" s="111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</row>
    <row r="168" spans="1:30" s="104" customFormat="1" ht="20.100000000000001" customHeight="1" x14ac:dyDescent="0.25">
      <c r="A168" s="109"/>
      <c r="B168" s="32" t="s">
        <v>437</v>
      </c>
      <c r="C168" s="592">
        <v>500000000</v>
      </c>
      <c r="D168" s="221">
        <v>479853000</v>
      </c>
      <c r="E168" s="235">
        <f t="shared" ref="E168" si="26">+D168/C168*100</f>
        <v>95.97059999999999</v>
      </c>
      <c r="F168" s="117">
        <f t="shared" si="22"/>
        <v>95.97059999999999</v>
      </c>
      <c r="G168" s="111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</row>
    <row r="169" spans="1:30" s="104" customFormat="1" ht="20.100000000000001" customHeight="1" x14ac:dyDescent="0.25">
      <c r="A169" s="109"/>
      <c r="B169" s="48" t="s">
        <v>447</v>
      </c>
      <c r="C169" s="593">
        <f>+C170</f>
        <v>219325000</v>
      </c>
      <c r="D169" s="779">
        <f>+D170</f>
        <v>218480000</v>
      </c>
      <c r="E169" s="114">
        <f>+E170</f>
        <v>99.614727003305589</v>
      </c>
      <c r="F169" s="114">
        <f t="shared" si="22"/>
        <v>99.614727003305589</v>
      </c>
      <c r="G169" s="111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80"/>
      <c r="AB169" s="80"/>
      <c r="AC169" s="80"/>
      <c r="AD169" s="80"/>
    </row>
    <row r="170" spans="1:30" s="104" customFormat="1" ht="20.100000000000001" customHeight="1" x14ac:dyDescent="0.25">
      <c r="A170" s="109"/>
      <c r="B170" s="32" t="s">
        <v>449</v>
      </c>
      <c r="C170" s="592">
        <v>219325000</v>
      </c>
      <c r="D170" s="221">
        <v>218480000</v>
      </c>
      <c r="E170" s="235">
        <f t="shared" ref="E170" si="27">+D170/C170*100</f>
        <v>99.614727003305589</v>
      </c>
      <c r="F170" s="117">
        <f t="shared" si="22"/>
        <v>99.614727003305589</v>
      </c>
      <c r="G170" s="111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</row>
    <row r="171" spans="1:30" s="104" customFormat="1" ht="12" customHeight="1" x14ac:dyDescent="0.25">
      <c r="A171" s="109"/>
      <c r="B171" s="32"/>
      <c r="C171" s="592"/>
      <c r="D171" s="778"/>
      <c r="E171" s="117"/>
      <c r="F171" s="114"/>
      <c r="G171" s="111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  <c r="AC171" s="80"/>
      <c r="AD171" s="80"/>
    </row>
    <row r="172" spans="1:30" s="105" customFormat="1" ht="20.100000000000001" customHeight="1" x14ac:dyDescent="0.25">
      <c r="A172" s="159"/>
      <c r="B172" s="48" t="s">
        <v>4000</v>
      </c>
      <c r="C172" s="593">
        <f>+C173+C175</f>
        <v>867350000</v>
      </c>
      <c r="D172" s="779">
        <f>+D173+D175</f>
        <v>867225600</v>
      </c>
      <c r="E172" s="235">
        <f t="shared" ref="E172:E174" si="28">+D172/C172*100</f>
        <v>99.985657462385419</v>
      </c>
      <c r="F172" s="114">
        <f t="shared" si="22"/>
        <v>99.985657462385419</v>
      </c>
      <c r="G172" s="121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5"/>
      <c r="S172" s="115"/>
      <c r="T172" s="115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</row>
    <row r="173" spans="1:30" s="105" customFormat="1" ht="20.100000000000001" customHeight="1" x14ac:dyDescent="0.25">
      <c r="A173" s="159"/>
      <c r="B173" s="48" t="s">
        <v>411</v>
      </c>
      <c r="C173" s="593">
        <f>+C174</f>
        <v>127350000</v>
      </c>
      <c r="D173" s="779">
        <f>+D174</f>
        <v>127225600</v>
      </c>
      <c r="E173" s="235">
        <f t="shared" si="28"/>
        <v>99.902316450726346</v>
      </c>
      <c r="F173" s="114">
        <f t="shared" si="22"/>
        <v>99.902316450726346</v>
      </c>
      <c r="G173" s="121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  <c r="R173" s="115"/>
      <c r="S173" s="115"/>
      <c r="T173" s="115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</row>
    <row r="174" spans="1:30" s="104" customFormat="1" ht="20.100000000000001" customHeight="1" x14ac:dyDescent="0.25">
      <c r="A174" s="109"/>
      <c r="B174" s="32" t="s">
        <v>413</v>
      </c>
      <c r="C174" s="592">
        <v>127350000</v>
      </c>
      <c r="D174" s="221">
        <v>127225600</v>
      </c>
      <c r="E174" s="235">
        <f t="shared" si="28"/>
        <v>99.902316450726346</v>
      </c>
      <c r="F174" s="114">
        <f t="shared" si="22"/>
        <v>99.902316450726346</v>
      </c>
      <c r="G174" s="111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  <c r="AC174" s="80"/>
      <c r="AD174" s="80"/>
    </row>
    <row r="175" spans="1:30" s="105" customFormat="1" ht="20.100000000000001" customHeight="1" x14ac:dyDescent="0.25">
      <c r="A175" s="159"/>
      <c r="B175" s="48" t="s">
        <v>405</v>
      </c>
      <c r="C175" s="593">
        <f>+C176</f>
        <v>740000000</v>
      </c>
      <c r="D175" s="779">
        <f>+D176</f>
        <v>740000000</v>
      </c>
      <c r="E175" s="114">
        <f>+D175/C175*100</f>
        <v>100</v>
      </c>
      <c r="F175" s="114">
        <f t="shared" si="22"/>
        <v>100</v>
      </c>
      <c r="G175" s="121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5"/>
      <c r="S175" s="115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</row>
    <row r="176" spans="1:30" s="104" customFormat="1" ht="20.100000000000001" customHeight="1" x14ac:dyDescent="0.25">
      <c r="A176" s="109"/>
      <c r="B176" s="32" t="s">
        <v>414</v>
      </c>
      <c r="C176" s="592">
        <v>740000000</v>
      </c>
      <c r="D176" s="221">
        <v>740000000</v>
      </c>
      <c r="E176" s="235">
        <f t="shared" ref="E176" si="29">+D176/C176*100</f>
        <v>100</v>
      </c>
      <c r="F176" s="117">
        <f t="shared" si="22"/>
        <v>100</v>
      </c>
      <c r="G176" s="111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</row>
    <row r="177" spans="1:30" s="104" customFormat="1" ht="12" customHeight="1" x14ac:dyDescent="0.25">
      <c r="A177" s="109"/>
      <c r="B177" s="32"/>
      <c r="C177" s="592"/>
      <c r="D177" s="778"/>
      <c r="E177" s="117"/>
      <c r="F177" s="114"/>
      <c r="G177" s="111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80"/>
      <c r="AB177" s="80"/>
      <c r="AC177" s="80"/>
      <c r="AD177" s="80"/>
    </row>
    <row r="178" spans="1:30" s="104" customFormat="1" ht="20.100000000000001" customHeight="1" x14ac:dyDescent="0.25">
      <c r="A178" s="109"/>
      <c r="B178" s="48" t="s">
        <v>329</v>
      </c>
      <c r="C178" s="593">
        <f>+C179+C182</f>
        <v>2000000000</v>
      </c>
      <c r="D178" s="779">
        <f>+D179+D182</f>
        <v>1968753300</v>
      </c>
      <c r="E178" s="114">
        <f>+D178/C178*100</f>
        <v>98.437664999999996</v>
      </c>
      <c r="F178" s="114">
        <f t="shared" si="22"/>
        <v>98.437664999999996</v>
      </c>
      <c r="G178" s="111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  <c r="AC178" s="80"/>
      <c r="AD178" s="80"/>
    </row>
    <row r="179" spans="1:30" s="105" customFormat="1" ht="20.100000000000001" customHeight="1" x14ac:dyDescent="0.25">
      <c r="A179" s="159"/>
      <c r="B179" s="48" t="s">
        <v>330</v>
      </c>
      <c r="C179" s="593">
        <f>+C180+C181</f>
        <v>1500000000</v>
      </c>
      <c r="D179" s="779">
        <f>+D180+D181</f>
        <v>1469989700</v>
      </c>
      <c r="E179" s="114">
        <f>+D179/C179*100</f>
        <v>97.999313333333333</v>
      </c>
      <c r="F179" s="114">
        <f t="shared" si="22"/>
        <v>97.999313333333333</v>
      </c>
      <c r="G179" s="121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5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</row>
    <row r="180" spans="1:30" s="104" customFormat="1" ht="20.100000000000001" customHeight="1" x14ac:dyDescent="0.25">
      <c r="A180" s="109"/>
      <c r="B180" s="119" t="s">
        <v>331</v>
      </c>
      <c r="C180" s="592">
        <v>500000000</v>
      </c>
      <c r="D180" s="221">
        <v>478541400</v>
      </c>
      <c r="E180" s="235">
        <f t="shared" ref="E180:E181" si="30">+D180/C180*100</f>
        <v>95.708280000000002</v>
      </c>
      <c r="F180" s="117">
        <f t="shared" si="22"/>
        <v>95.708280000000002</v>
      </c>
      <c r="G180" s="111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</row>
    <row r="181" spans="1:30" s="104" customFormat="1" ht="20.100000000000001" customHeight="1" x14ac:dyDescent="0.25">
      <c r="A181" s="109"/>
      <c r="B181" s="119" t="s">
        <v>333</v>
      </c>
      <c r="C181" s="592">
        <v>1000000000</v>
      </c>
      <c r="D181" s="221">
        <v>991448300</v>
      </c>
      <c r="E181" s="235">
        <f t="shared" si="30"/>
        <v>99.144829999999999</v>
      </c>
      <c r="F181" s="117">
        <f t="shared" si="22"/>
        <v>99.144829999999999</v>
      </c>
      <c r="G181" s="111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</row>
    <row r="182" spans="1:30" s="105" customFormat="1" ht="20.100000000000001" customHeight="1" x14ac:dyDescent="0.25">
      <c r="A182" s="159"/>
      <c r="B182" s="48" t="s">
        <v>335</v>
      </c>
      <c r="C182" s="593">
        <f>+C183</f>
        <v>500000000</v>
      </c>
      <c r="D182" s="779">
        <f>+D183</f>
        <v>498763600</v>
      </c>
      <c r="E182" s="114">
        <f>+E183</f>
        <v>99.752719999999997</v>
      </c>
      <c r="F182" s="114">
        <f t="shared" si="22"/>
        <v>99.752719999999997</v>
      </c>
      <c r="G182" s="121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</row>
    <row r="183" spans="1:30" s="104" customFormat="1" ht="20.100000000000001" customHeight="1" x14ac:dyDescent="0.25">
      <c r="A183" s="109"/>
      <c r="B183" s="32" t="s">
        <v>337</v>
      </c>
      <c r="C183" s="592">
        <v>500000000</v>
      </c>
      <c r="D183" s="221">
        <v>498763600</v>
      </c>
      <c r="E183" s="235">
        <f t="shared" ref="E183" si="31">+D183/C183*100</f>
        <v>99.752719999999997</v>
      </c>
      <c r="F183" s="117">
        <f t="shared" si="22"/>
        <v>99.752719999999997</v>
      </c>
      <c r="G183" s="111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</row>
    <row r="184" spans="1:30" s="104" customFormat="1" ht="12" customHeight="1" x14ac:dyDescent="0.25">
      <c r="A184" s="109"/>
      <c r="B184" s="32"/>
      <c r="C184" s="592"/>
      <c r="D184" s="778"/>
      <c r="E184" s="117"/>
      <c r="F184" s="114"/>
      <c r="G184" s="111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</row>
    <row r="185" spans="1:30" s="104" customFormat="1" ht="20.100000000000001" customHeight="1" x14ac:dyDescent="0.25">
      <c r="A185" s="109"/>
      <c r="B185" s="48" t="s">
        <v>485</v>
      </c>
      <c r="C185" s="593">
        <f>+C186</f>
        <v>1247261000</v>
      </c>
      <c r="D185" s="779">
        <f>+D186</f>
        <v>1246985000</v>
      </c>
      <c r="E185" s="114">
        <f>+D185/C185*100</f>
        <v>99.97787151205722</v>
      </c>
      <c r="F185" s="114">
        <f t="shared" si="22"/>
        <v>99.97787151205722</v>
      </c>
      <c r="G185" s="111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  <c r="AC185" s="80"/>
      <c r="AD185" s="80"/>
    </row>
    <row r="186" spans="1:30" s="104" customFormat="1" ht="20.100000000000001" customHeight="1" x14ac:dyDescent="0.25">
      <c r="A186" s="109"/>
      <c r="B186" s="48" t="s">
        <v>486</v>
      </c>
      <c r="C186" s="593">
        <f>+C187</f>
        <v>1247261000</v>
      </c>
      <c r="D186" s="779">
        <f>+D187</f>
        <v>1246985000</v>
      </c>
      <c r="E186" s="114">
        <f>+D186/C186*100</f>
        <v>99.97787151205722</v>
      </c>
      <c r="F186" s="114">
        <f t="shared" si="22"/>
        <v>99.97787151205722</v>
      </c>
      <c r="G186" s="111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80"/>
      <c r="AB186" s="80"/>
      <c r="AC186" s="80"/>
      <c r="AD186" s="80"/>
    </row>
    <row r="187" spans="1:30" s="104" customFormat="1" ht="20.100000000000001" customHeight="1" x14ac:dyDescent="0.25">
      <c r="A187" s="109"/>
      <c r="B187" s="32" t="s">
        <v>487</v>
      </c>
      <c r="C187" s="592">
        <v>1247261000</v>
      </c>
      <c r="D187" s="108">
        <v>1246985000</v>
      </c>
      <c r="E187" s="235">
        <f t="shared" ref="E187" si="32">+D187/C187*100</f>
        <v>99.97787151205722</v>
      </c>
      <c r="F187" s="117">
        <f t="shared" si="22"/>
        <v>99.97787151205722</v>
      </c>
      <c r="G187" s="111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</row>
    <row r="188" spans="1:30" s="104" customFormat="1" ht="12" customHeight="1" x14ac:dyDescent="0.25">
      <c r="A188" s="109"/>
      <c r="B188" s="32"/>
      <c r="C188" s="592"/>
      <c r="D188" s="778"/>
      <c r="E188" s="117"/>
      <c r="F188" s="114"/>
      <c r="G188" s="111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</row>
    <row r="189" spans="1:30" s="104" customFormat="1" ht="20.100000000000001" customHeight="1" x14ac:dyDescent="0.25">
      <c r="A189" s="109"/>
      <c r="B189" s="48" t="s">
        <v>509</v>
      </c>
      <c r="C189" s="593">
        <f>+C190</f>
        <v>127500000</v>
      </c>
      <c r="D189" s="779">
        <f>+D190</f>
        <v>127500000</v>
      </c>
      <c r="E189" s="114">
        <f>+D189/C189*100</f>
        <v>100</v>
      </c>
      <c r="F189" s="114">
        <f t="shared" si="22"/>
        <v>100</v>
      </c>
      <c r="G189" s="111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</row>
    <row r="190" spans="1:30" s="104" customFormat="1" ht="20.100000000000001" customHeight="1" x14ac:dyDescent="0.25">
      <c r="A190" s="109"/>
      <c r="B190" s="48" t="s">
        <v>486</v>
      </c>
      <c r="C190" s="593">
        <f>+C191</f>
        <v>127500000</v>
      </c>
      <c r="D190" s="779">
        <f>+D191</f>
        <v>127500000</v>
      </c>
      <c r="E190" s="114">
        <f>+D190/C190*100</f>
        <v>100</v>
      </c>
      <c r="F190" s="114">
        <f t="shared" si="22"/>
        <v>100</v>
      </c>
      <c r="G190" s="111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</row>
    <row r="191" spans="1:30" s="104" customFormat="1" ht="20.100000000000001" customHeight="1" x14ac:dyDescent="0.25">
      <c r="A191" s="109"/>
      <c r="B191" s="32" t="s">
        <v>487</v>
      </c>
      <c r="C191" s="592">
        <v>127500000</v>
      </c>
      <c r="D191" s="221">
        <v>127500000</v>
      </c>
      <c r="E191" s="235">
        <f t="shared" ref="E191" si="33">+D191/C191*100</f>
        <v>100</v>
      </c>
      <c r="F191" s="117">
        <f t="shared" si="22"/>
        <v>100</v>
      </c>
      <c r="G191" s="111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</row>
    <row r="192" spans="1:30" s="104" customFormat="1" ht="12" customHeight="1" x14ac:dyDescent="0.25">
      <c r="A192" s="109"/>
      <c r="B192" s="32"/>
      <c r="C192" s="592"/>
      <c r="D192" s="778"/>
      <c r="E192" s="117"/>
      <c r="F192" s="114"/>
      <c r="G192" s="111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  <c r="AC192" s="80"/>
      <c r="AD192" s="80"/>
    </row>
    <row r="193" spans="1:30" s="105" customFormat="1" ht="20.100000000000001" customHeight="1" x14ac:dyDescent="0.25">
      <c r="A193" s="159"/>
      <c r="B193" s="48" t="s">
        <v>582</v>
      </c>
      <c r="C193" s="593">
        <f>+C194</f>
        <v>4024600000</v>
      </c>
      <c r="D193" s="779">
        <f>+D194</f>
        <v>3262540500</v>
      </c>
      <c r="E193" s="114">
        <f>+E194</f>
        <v>81.06496297768723</v>
      </c>
      <c r="F193" s="114">
        <f t="shared" si="22"/>
        <v>81.06496297768723</v>
      </c>
      <c r="G193" s="121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</row>
    <row r="194" spans="1:30" s="105" customFormat="1" ht="20.100000000000001" customHeight="1" x14ac:dyDescent="0.25">
      <c r="A194" s="159"/>
      <c r="B194" s="48" t="s">
        <v>153</v>
      </c>
      <c r="C194" s="593">
        <f>+C195</f>
        <v>4024600000</v>
      </c>
      <c r="D194" s="779">
        <f>+D195</f>
        <v>3262540500</v>
      </c>
      <c r="E194" s="114">
        <f>+D194/C194*100</f>
        <v>81.06496297768723</v>
      </c>
      <c r="F194" s="114">
        <f t="shared" si="22"/>
        <v>81.06496297768723</v>
      </c>
      <c r="G194" s="121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</row>
    <row r="195" spans="1:30" s="104" customFormat="1" ht="20.100000000000001" customHeight="1" x14ac:dyDescent="0.25">
      <c r="A195" s="109"/>
      <c r="B195" s="32" t="s">
        <v>154</v>
      </c>
      <c r="C195" s="219">
        <v>4024600000</v>
      </c>
      <c r="D195" s="108">
        <v>3262540500</v>
      </c>
      <c r="E195" s="235">
        <f t="shared" ref="E195" si="34">+D195/C195*100</f>
        <v>81.06496297768723</v>
      </c>
      <c r="F195" s="117">
        <f t="shared" si="22"/>
        <v>81.06496297768723</v>
      </c>
      <c r="G195" s="111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  <c r="AC195" s="80"/>
      <c r="AD195" s="80"/>
    </row>
    <row r="196" spans="1:30" s="104" customFormat="1" ht="12" customHeight="1" x14ac:dyDescent="0.25">
      <c r="A196" s="109"/>
      <c r="B196" s="32"/>
      <c r="C196" s="592"/>
      <c r="D196" s="778"/>
      <c r="E196" s="117"/>
      <c r="F196" s="117"/>
      <c r="G196" s="111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</row>
    <row r="197" spans="1:30" s="104" customFormat="1" ht="20.100000000000001" customHeight="1" x14ac:dyDescent="0.25">
      <c r="A197" s="109"/>
      <c r="B197" s="121" t="s">
        <v>607</v>
      </c>
      <c r="C197" s="125">
        <f>+C198+C212</f>
        <v>9498600000</v>
      </c>
      <c r="D197" s="779">
        <f>+D198+D212</f>
        <v>9220625934</v>
      </c>
      <c r="E197" s="114">
        <f t="shared" ref="E197:E213" si="35">+D197/C197*100</f>
        <v>97.073525930137066</v>
      </c>
      <c r="F197" s="114">
        <f t="shared" si="22"/>
        <v>97.073525930137066</v>
      </c>
      <c r="G197" s="111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</row>
    <row r="198" spans="1:30" s="104" customFormat="1" ht="20.100000000000001" customHeight="1" x14ac:dyDescent="0.25">
      <c r="A198" s="109"/>
      <c r="B198" s="48" t="s">
        <v>608</v>
      </c>
      <c r="C198" s="593">
        <f>SUM(C199:C211)</f>
        <v>8026150000</v>
      </c>
      <c r="D198" s="781">
        <f>SUM(D199:D211)</f>
        <v>7861559734</v>
      </c>
      <c r="E198" s="114">
        <f t="shared" si="35"/>
        <v>97.949324819496269</v>
      </c>
      <c r="F198" s="114">
        <f t="shared" si="22"/>
        <v>97.949324819496269</v>
      </c>
      <c r="G198" s="111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  <c r="AA198" s="80"/>
      <c r="AB198" s="80"/>
      <c r="AC198" s="80"/>
      <c r="AD198" s="80"/>
    </row>
    <row r="199" spans="1:30" s="104" customFormat="1" ht="20.100000000000001" customHeight="1" x14ac:dyDescent="0.25">
      <c r="A199" s="109"/>
      <c r="B199" s="32" t="s">
        <v>609</v>
      </c>
      <c r="C199" s="233">
        <v>300000000</v>
      </c>
      <c r="D199" s="221">
        <v>291925400</v>
      </c>
      <c r="E199" s="235">
        <f t="shared" si="35"/>
        <v>97.308466666666675</v>
      </c>
      <c r="F199" s="117">
        <f t="shared" si="22"/>
        <v>97.308466666666675</v>
      </c>
      <c r="G199" s="111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  <c r="AC199" s="80"/>
      <c r="AD199" s="80"/>
    </row>
    <row r="200" spans="1:30" s="104" customFormat="1" ht="20.100000000000001" customHeight="1" x14ac:dyDescent="0.25">
      <c r="A200" s="109"/>
      <c r="B200" s="32" t="s">
        <v>610</v>
      </c>
      <c r="C200" s="233">
        <v>200000000</v>
      </c>
      <c r="D200" s="221">
        <v>200000000</v>
      </c>
      <c r="E200" s="235">
        <f t="shared" si="35"/>
        <v>100</v>
      </c>
      <c r="F200" s="117">
        <f t="shared" si="22"/>
        <v>100</v>
      </c>
      <c r="G200" s="111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  <c r="AD200" s="80"/>
    </row>
    <row r="201" spans="1:30" s="104" customFormat="1" ht="20.100000000000001" customHeight="1" x14ac:dyDescent="0.25">
      <c r="A201" s="109"/>
      <c r="B201" s="32" t="s">
        <v>611</v>
      </c>
      <c r="C201" s="233">
        <v>5024500000</v>
      </c>
      <c r="D201" s="221">
        <v>4969481567</v>
      </c>
      <c r="E201" s="235">
        <f t="shared" si="35"/>
        <v>98.904996855408498</v>
      </c>
      <c r="F201" s="117">
        <f t="shared" si="22"/>
        <v>98.904996855408498</v>
      </c>
      <c r="G201" s="111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  <c r="AC201" s="80"/>
      <c r="AD201" s="80"/>
    </row>
    <row r="202" spans="1:30" s="104" customFormat="1" ht="20.100000000000001" customHeight="1" x14ac:dyDescent="0.25">
      <c r="A202" s="109"/>
      <c r="B202" s="32" t="s">
        <v>612</v>
      </c>
      <c r="C202" s="233">
        <v>574650000</v>
      </c>
      <c r="D202" s="221">
        <v>527268618</v>
      </c>
      <c r="E202" s="235">
        <f t="shared" si="35"/>
        <v>91.754740798747065</v>
      </c>
      <c r="F202" s="117">
        <f t="shared" si="22"/>
        <v>91.754740798747065</v>
      </c>
      <c r="G202" s="111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</row>
    <row r="203" spans="1:30" s="104" customFormat="1" ht="20.100000000000001" customHeight="1" x14ac:dyDescent="0.25">
      <c r="A203" s="109"/>
      <c r="B203" s="32" t="s">
        <v>613</v>
      </c>
      <c r="C203" s="233">
        <v>250000000</v>
      </c>
      <c r="D203" s="221">
        <v>241262470</v>
      </c>
      <c r="E203" s="235">
        <f t="shared" si="35"/>
        <v>96.504987999999997</v>
      </c>
      <c r="F203" s="117">
        <f t="shared" si="22"/>
        <v>96.504987999999997</v>
      </c>
      <c r="G203" s="111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</row>
    <row r="204" spans="1:30" s="104" customFormat="1" ht="20.100000000000001" customHeight="1" x14ac:dyDescent="0.25">
      <c r="A204" s="109"/>
      <c r="B204" s="32" t="s">
        <v>614</v>
      </c>
      <c r="C204" s="233">
        <v>42000000</v>
      </c>
      <c r="D204" s="221">
        <v>41775900</v>
      </c>
      <c r="E204" s="235">
        <f t="shared" si="35"/>
        <v>99.466428571428565</v>
      </c>
      <c r="F204" s="117">
        <f t="shared" si="22"/>
        <v>99.466428571428565</v>
      </c>
      <c r="G204" s="111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80"/>
      <c r="AB204" s="80"/>
      <c r="AC204" s="80"/>
      <c r="AD204" s="80"/>
    </row>
    <row r="205" spans="1:30" s="104" customFormat="1" ht="20.100000000000001" customHeight="1" x14ac:dyDescent="0.25">
      <c r="A205" s="109"/>
      <c r="B205" s="32" t="s">
        <v>615</v>
      </c>
      <c r="C205" s="233">
        <v>250000000</v>
      </c>
      <c r="D205" s="221">
        <v>247953300</v>
      </c>
      <c r="E205" s="235">
        <f t="shared" si="35"/>
        <v>99.181319999999999</v>
      </c>
      <c r="F205" s="117">
        <f t="shared" si="22"/>
        <v>99.181319999999999</v>
      </c>
      <c r="G205" s="111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</row>
    <row r="206" spans="1:30" s="104" customFormat="1" ht="20.100000000000001" customHeight="1" x14ac:dyDescent="0.25">
      <c r="A206" s="109"/>
      <c r="B206" s="32" t="s">
        <v>616</v>
      </c>
      <c r="C206" s="233">
        <v>360000000</v>
      </c>
      <c r="D206" s="221">
        <v>343645230</v>
      </c>
      <c r="E206" s="235">
        <f t="shared" si="35"/>
        <v>95.457008333333334</v>
      </c>
      <c r="F206" s="117">
        <f t="shared" si="22"/>
        <v>95.457008333333334</v>
      </c>
      <c r="G206" s="111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  <c r="AC206" s="80"/>
      <c r="AD206" s="80"/>
    </row>
    <row r="207" spans="1:30" s="104" customFormat="1" ht="20.100000000000001" customHeight="1" x14ac:dyDescent="0.25">
      <c r="A207" s="109"/>
      <c r="B207" s="32" t="s">
        <v>617</v>
      </c>
      <c r="C207" s="233">
        <v>125000000</v>
      </c>
      <c r="D207" s="221">
        <v>124962000</v>
      </c>
      <c r="E207" s="235">
        <f t="shared" si="35"/>
        <v>99.9696</v>
      </c>
      <c r="F207" s="117">
        <f t="shared" si="22"/>
        <v>99.9696</v>
      </c>
      <c r="G207" s="111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80"/>
      <c r="AB207" s="80"/>
      <c r="AC207" s="80"/>
      <c r="AD207" s="80"/>
    </row>
    <row r="208" spans="1:30" s="104" customFormat="1" ht="20.100000000000001" customHeight="1" x14ac:dyDescent="0.25">
      <c r="A208" s="109"/>
      <c r="B208" s="32" t="s">
        <v>618</v>
      </c>
      <c r="C208" s="233">
        <v>250000000</v>
      </c>
      <c r="D208" s="221">
        <v>242614400</v>
      </c>
      <c r="E208" s="235">
        <f t="shared" si="35"/>
        <v>97.045760000000001</v>
      </c>
      <c r="F208" s="117">
        <f t="shared" si="22"/>
        <v>97.045760000000001</v>
      </c>
      <c r="G208" s="111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  <c r="AC208" s="80"/>
      <c r="AD208" s="80"/>
    </row>
    <row r="209" spans="1:30" s="104" customFormat="1" ht="20.100000000000001" customHeight="1" x14ac:dyDescent="0.25">
      <c r="A209" s="109"/>
      <c r="B209" s="32" t="s">
        <v>619</v>
      </c>
      <c r="C209" s="233">
        <v>250000000</v>
      </c>
      <c r="D209" s="221">
        <v>240527500</v>
      </c>
      <c r="E209" s="235">
        <f t="shared" si="35"/>
        <v>96.210999999999999</v>
      </c>
      <c r="F209" s="117">
        <f t="shared" si="22"/>
        <v>96.210999999999999</v>
      </c>
      <c r="G209" s="111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  <c r="AC209" s="80"/>
      <c r="AD209" s="80"/>
    </row>
    <row r="210" spans="1:30" s="104" customFormat="1" ht="20.100000000000001" customHeight="1" x14ac:dyDescent="0.25">
      <c r="A210" s="109"/>
      <c r="B210" s="32" t="s">
        <v>620</v>
      </c>
      <c r="C210" s="233">
        <v>250000000</v>
      </c>
      <c r="D210" s="221">
        <v>240489349</v>
      </c>
      <c r="E210" s="235">
        <f t="shared" si="35"/>
        <v>96.195739599999996</v>
      </c>
      <c r="F210" s="117">
        <f t="shared" si="22"/>
        <v>96.195739599999996</v>
      </c>
      <c r="G210" s="111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</row>
    <row r="211" spans="1:30" s="104" customFormat="1" ht="20.100000000000001" customHeight="1" x14ac:dyDescent="0.25">
      <c r="A211" s="109"/>
      <c r="B211" s="119" t="s">
        <v>621</v>
      </c>
      <c r="C211" s="233">
        <v>150000000</v>
      </c>
      <c r="D211" s="221">
        <v>149654000</v>
      </c>
      <c r="E211" s="235">
        <f t="shared" si="35"/>
        <v>99.769333333333336</v>
      </c>
      <c r="F211" s="117">
        <f t="shared" si="22"/>
        <v>99.769333333333336</v>
      </c>
      <c r="G211" s="111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</row>
    <row r="212" spans="1:30" s="104" customFormat="1" ht="20.100000000000001" customHeight="1" x14ac:dyDescent="0.25">
      <c r="A212" s="109"/>
      <c r="B212" s="48" t="s">
        <v>622</v>
      </c>
      <c r="C212" s="230">
        <f>+C213</f>
        <v>1472450000</v>
      </c>
      <c r="D212" s="220">
        <f>+D213</f>
        <v>1359066200</v>
      </c>
      <c r="E212" s="110">
        <f t="shared" si="35"/>
        <v>92.299650242792623</v>
      </c>
      <c r="F212" s="114">
        <f t="shared" si="22"/>
        <v>92.299650242792623</v>
      </c>
      <c r="G212" s="111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</row>
    <row r="213" spans="1:30" s="104" customFormat="1" ht="20.100000000000001" customHeight="1" x14ac:dyDescent="0.25">
      <c r="A213" s="109"/>
      <c r="B213" s="32" t="s">
        <v>623</v>
      </c>
      <c r="C213" s="233">
        <v>1472450000</v>
      </c>
      <c r="D213" s="221">
        <v>1359066200</v>
      </c>
      <c r="E213" s="235">
        <f t="shared" si="35"/>
        <v>92.299650242792623</v>
      </c>
      <c r="F213" s="117">
        <f t="shared" si="22"/>
        <v>92.299650242792623</v>
      </c>
      <c r="G213" s="111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80"/>
      <c r="AB213" s="80"/>
      <c r="AC213" s="80"/>
      <c r="AD213" s="80"/>
    </row>
    <row r="214" spans="1:30" s="104" customFormat="1" ht="12" customHeight="1" x14ac:dyDescent="0.25">
      <c r="A214" s="109"/>
      <c r="B214" s="32"/>
      <c r="C214" s="592"/>
      <c r="D214" s="778"/>
      <c r="E214" s="117"/>
      <c r="F214" s="114"/>
      <c r="G214" s="111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</row>
    <row r="215" spans="1:30" s="104" customFormat="1" ht="20.100000000000001" customHeight="1" x14ac:dyDescent="0.25">
      <c r="A215" s="109"/>
      <c r="B215" s="48" t="s">
        <v>660</v>
      </c>
      <c r="C215" s="593">
        <f>+C216</f>
        <v>1688080000</v>
      </c>
      <c r="D215" s="779">
        <f>+D216</f>
        <v>1686191096</v>
      </c>
      <c r="E215" s="114">
        <f>+D215/C215*100</f>
        <v>99.888103407421454</v>
      </c>
      <c r="F215" s="114">
        <f t="shared" ref="F215:F217" si="36">+E215</f>
        <v>99.888103407421454</v>
      </c>
      <c r="G215" s="111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  <c r="AC215" s="80"/>
      <c r="AD215" s="80"/>
    </row>
    <row r="216" spans="1:30" s="104" customFormat="1" ht="20.100000000000001" customHeight="1" x14ac:dyDescent="0.25">
      <c r="A216" s="109"/>
      <c r="B216" s="48" t="s">
        <v>608</v>
      </c>
      <c r="C216" s="593">
        <f>+C217</f>
        <v>1688080000</v>
      </c>
      <c r="D216" s="779">
        <f>+D217</f>
        <v>1686191096</v>
      </c>
      <c r="E216" s="114">
        <f>+D216/C216*100</f>
        <v>99.888103407421454</v>
      </c>
      <c r="F216" s="114">
        <f t="shared" si="36"/>
        <v>99.888103407421454</v>
      </c>
      <c r="G216" s="111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80"/>
      <c r="AB216" s="80"/>
      <c r="AC216" s="80"/>
      <c r="AD216" s="80"/>
    </row>
    <row r="217" spans="1:30" s="104" customFormat="1" ht="20.100000000000001" customHeight="1" x14ac:dyDescent="0.25">
      <c r="A217" s="109"/>
      <c r="B217" s="32" t="s">
        <v>661</v>
      </c>
      <c r="C217" s="592">
        <v>1688080000</v>
      </c>
      <c r="D217" s="221">
        <v>1686191096</v>
      </c>
      <c r="E217" s="235">
        <f>+D217/C217*100</f>
        <v>99.888103407421454</v>
      </c>
      <c r="F217" s="117">
        <f t="shared" si="36"/>
        <v>99.888103407421454</v>
      </c>
      <c r="G217" s="111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</row>
    <row r="218" spans="1:30" s="104" customFormat="1" ht="12" customHeight="1" x14ac:dyDescent="0.25">
      <c r="A218" s="109"/>
      <c r="B218" s="32"/>
      <c r="C218" s="582"/>
      <c r="D218" s="778"/>
      <c r="E218" s="117"/>
      <c r="F218" s="117"/>
      <c r="G218" s="111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  <c r="AC218" s="80"/>
      <c r="AD218" s="80"/>
    </row>
    <row r="219" spans="1:30" s="104" customFormat="1" ht="20.100000000000001" customHeight="1" x14ac:dyDescent="0.25">
      <c r="A219" s="109" t="s">
        <v>673</v>
      </c>
      <c r="B219" s="48" t="s">
        <v>4001</v>
      </c>
      <c r="C219" s="125">
        <f>[2]A.4!L5865</f>
        <v>536670530000</v>
      </c>
      <c r="D219" s="779">
        <f>+A.3!F5728</f>
        <v>536670530000</v>
      </c>
      <c r="E219" s="114">
        <f>D219/C219*100</f>
        <v>100</v>
      </c>
      <c r="F219" s="114">
        <f>+A.3!H5728</f>
        <v>100</v>
      </c>
      <c r="G219" s="111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</row>
    <row r="220" spans="1:30" ht="12" customHeight="1" x14ac:dyDescent="0.25">
      <c r="A220" s="109"/>
      <c r="B220" s="48"/>
      <c r="C220" s="582"/>
      <c r="D220" s="778"/>
      <c r="E220" s="117" t="s">
        <v>4002</v>
      </c>
      <c r="F220" s="117"/>
      <c r="G220" s="111"/>
    </row>
    <row r="221" spans="1:30" s="115" customFormat="1" ht="20.100000000000001" customHeight="1" x14ac:dyDescent="0.25">
      <c r="A221" s="159" t="s">
        <v>3984</v>
      </c>
      <c r="B221" s="48" t="s">
        <v>674</v>
      </c>
      <c r="C221" s="125">
        <f>C222+C252+C317+C369+C436+C488+C535+C616+C663+C689+C721+C760+C789+C872+C906+C936+C973+C1011+C1040+C1088+C1113+C1135+C1163+C1190+C1225+C1252+C1291+C1321+C1362</f>
        <v>943740691174.47998</v>
      </c>
      <c r="D221" s="779">
        <f>+D222+D252+D317+D369+D436+D488+D535+D616+D663+D689+D721+D760+D789+D872+D906+D936+D973+D1011+D1040+D1088+D1113+D1135+D1163+D1190+D1225+D1252+D1291+D1321+D1362</f>
        <v>778800475797.34009</v>
      </c>
      <c r="E221" s="114">
        <f>+D221/C221*100</f>
        <v>82.52271869597223</v>
      </c>
      <c r="F221" s="114">
        <f>(F222+F252+F317+F369+F436+F488+F535+F616+F663+F689+F721+F760+F789+F872+F906+F936+F973+F1011+F1040+F1088+F1113+F1135+F1163+F1190+F1225+F1252+F1291+F1321+F1362)/29</f>
        <v>83.780183880689066</v>
      </c>
      <c r="G221" s="121"/>
    </row>
    <row r="222" spans="1:30" ht="20.100000000000001" customHeight="1" x14ac:dyDescent="0.25">
      <c r="A222" s="159" t="s">
        <v>3990</v>
      </c>
      <c r="B222" s="236" t="s">
        <v>676</v>
      </c>
      <c r="C222" s="593">
        <f>C223+C248</f>
        <v>31354041600</v>
      </c>
      <c r="D222" s="113">
        <f>+D223+D248</f>
        <v>25508812400</v>
      </c>
      <c r="E222" s="114">
        <f>+D222/C222*100</f>
        <v>81.357334169002314</v>
      </c>
      <c r="F222" s="114">
        <f>(F223+F248)/2</f>
        <v>83.079545454545467</v>
      </c>
      <c r="G222" s="111"/>
    </row>
    <row r="223" spans="1:30" ht="20.100000000000001" customHeight="1" x14ac:dyDescent="0.25">
      <c r="A223" s="159"/>
      <c r="B223" s="237" t="s">
        <v>678</v>
      </c>
      <c r="C223" s="195">
        <v>21854041600</v>
      </c>
      <c r="D223" s="385">
        <f>D224+D226+D238+D240+D243+D245</f>
        <v>18308536400</v>
      </c>
      <c r="E223" s="386">
        <f>D223/C223*100</f>
        <v>83.776432456319654</v>
      </c>
      <c r="F223" s="386">
        <f>(F224+F226+F238+F240+F243+F245)/6</f>
        <v>86.159090909090921</v>
      </c>
      <c r="G223" s="111"/>
    </row>
    <row r="224" spans="1:30" ht="20.100000000000001" customHeight="1" x14ac:dyDescent="0.25">
      <c r="A224" s="159"/>
      <c r="B224" s="238" t="s">
        <v>396</v>
      </c>
      <c r="C224" s="195">
        <v>271900000</v>
      </c>
      <c r="D224" s="385">
        <f>SUM(D225:D225)</f>
        <v>269400000</v>
      </c>
      <c r="E224" s="386">
        <f>SUM(E225:E225)</f>
        <v>99.080544317763881</v>
      </c>
      <c r="F224" s="386">
        <f>SUM(F225:F225)/1</f>
        <v>100</v>
      </c>
      <c r="G224" s="111"/>
    </row>
    <row r="225" spans="1:7" ht="20.100000000000001" customHeight="1" x14ac:dyDescent="0.25">
      <c r="A225" s="159"/>
      <c r="B225" s="239" t="s">
        <v>679</v>
      </c>
      <c r="C225" s="116">
        <v>271900000</v>
      </c>
      <c r="D225" s="387">
        <v>269400000</v>
      </c>
      <c r="E225" s="388">
        <f t="shared" ref="E225:E232" si="37">D225/C225*100</f>
        <v>99.080544317763881</v>
      </c>
      <c r="F225" s="388">
        <v>100</v>
      </c>
      <c r="G225" s="111"/>
    </row>
    <row r="226" spans="1:7" ht="20.100000000000001" customHeight="1" x14ac:dyDescent="0.25">
      <c r="A226" s="159"/>
      <c r="B226" s="238" t="s">
        <v>680</v>
      </c>
      <c r="C226" s="195">
        <v>18544295000</v>
      </c>
      <c r="D226" s="385">
        <f>SUM(D227:D237)</f>
        <v>15611741400</v>
      </c>
      <c r="E226" s="386">
        <f t="shared" si="37"/>
        <v>84.186222231689044</v>
      </c>
      <c r="F226" s="386">
        <f>SUM(F227:F237)/11</f>
        <v>82.454545454545453</v>
      </c>
      <c r="G226" s="111"/>
    </row>
    <row r="227" spans="1:7" ht="20.100000000000001" customHeight="1" x14ac:dyDescent="0.25">
      <c r="A227" s="159"/>
      <c r="B227" s="239" t="s">
        <v>681</v>
      </c>
      <c r="C227" s="116">
        <v>412500000</v>
      </c>
      <c r="D227" s="387">
        <v>410190000</v>
      </c>
      <c r="E227" s="388">
        <f t="shared" si="37"/>
        <v>99.44</v>
      </c>
      <c r="F227" s="388">
        <v>100</v>
      </c>
      <c r="G227" s="111"/>
    </row>
    <row r="228" spans="1:7" ht="20.100000000000001" customHeight="1" x14ac:dyDescent="0.25">
      <c r="A228" s="159"/>
      <c r="B228" s="239" t="s">
        <v>682</v>
      </c>
      <c r="C228" s="116">
        <v>8610000000</v>
      </c>
      <c r="D228" s="387">
        <v>7936200000</v>
      </c>
      <c r="E228" s="388">
        <f t="shared" si="37"/>
        <v>92.174216027874564</v>
      </c>
      <c r="F228" s="388">
        <v>95</v>
      </c>
      <c r="G228" s="111"/>
    </row>
    <row r="229" spans="1:7" ht="20.100000000000001" customHeight="1" x14ac:dyDescent="0.25">
      <c r="A229" s="159"/>
      <c r="B229" s="239" t="s">
        <v>683</v>
      </c>
      <c r="C229" s="116">
        <v>397250000</v>
      </c>
      <c r="D229" s="387">
        <v>394151000</v>
      </c>
      <c r="E229" s="388">
        <f t="shared" si="37"/>
        <v>99.219886721208312</v>
      </c>
      <c r="F229" s="388">
        <v>100</v>
      </c>
      <c r="G229" s="111"/>
    </row>
    <row r="230" spans="1:7" ht="20.100000000000001" customHeight="1" x14ac:dyDescent="0.25">
      <c r="A230" s="159"/>
      <c r="B230" s="239" t="s">
        <v>684</v>
      </c>
      <c r="C230" s="116">
        <v>3315600000</v>
      </c>
      <c r="D230" s="387">
        <v>3315600000</v>
      </c>
      <c r="E230" s="388">
        <f t="shared" si="37"/>
        <v>100</v>
      </c>
      <c r="F230" s="388">
        <v>100</v>
      </c>
      <c r="G230" s="111"/>
    </row>
    <row r="231" spans="1:7" ht="30" customHeight="1" x14ac:dyDescent="0.25">
      <c r="A231" s="159"/>
      <c r="B231" s="239" t="s">
        <v>685</v>
      </c>
      <c r="C231" s="116">
        <v>377966000</v>
      </c>
      <c r="D231" s="387">
        <v>376000000</v>
      </c>
      <c r="E231" s="388">
        <f t="shared" si="37"/>
        <v>99.479847393680913</v>
      </c>
      <c r="F231" s="388">
        <v>100</v>
      </c>
      <c r="G231" s="111"/>
    </row>
    <row r="232" spans="1:7" ht="19.5" customHeight="1" x14ac:dyDescent="0.25">
      <c r="A232" s="159"/>
      <c r="B232" s="239" t="s">
        <v>686</v>
      </c>
      <c r="C232" s="116">
        <v>2349435000</v>
      </c>
      <c r="D232" s="387">
        <v>1606739400</v>
      </c>
      <c r="E232" s="388">
        <f t="shared" si="37"/>
        <v>68.388331662718898</v>
      </c>
      <c r="F232" s="388">
        <v>70</v>
      </c>
      <c r="G232" s="111"/>
    </row>
    <row r="233" spans="1:7" ht="30" customHeight="1" x14ac:dyDescent="0.25">
      <c r="A233" s="159"/>
      <c r="B233" s="239" t="s">
        <v>687</v>
      </c>
      <c r="C233" s="116">
        <v>138730000</v>
      </c>
      <c r="D233" s="387">
        <v>0</v>
      </c>
      <c r="E233" s="388"/>
      <c r="F233" s="388">
        <v>0</v>
      </c>
      <c r="G233" s="111"/>
    </row>
    <row r="234" spans="1:7" ht="20.100000000000001" customHeight="1" x14ac:dyDescent="0.25">
      <c r="A234" s="159"/>
      <c r="B234" s="239" t="s">
        <v>688</v>
      </c>
      <c r="C234" s="116">
        <v>251611000</v>
      </c>
      <c r="D234" s="387">
        <v>193961000</v>
      </c>
      <c r="E234" s="388">
        <f t="shared" ref="E234:E242" si="38">D234/C234*100</f>
        <v>77.087647201433967</v>
      </c>
      <c r="F234" s="388">
        <v>80</v>
      </c>
      <c r="G234" s="111"/>
    </row>
    <row r="235" spans="1:7" ht="20.100000000000001" customHeight="1" x14ac:dyDescent="0.25">
      <c r="A235" s="159"/>
      <c r="B235" s="239" t="s">
        <v>689</v>
      </c>
      <c r="C235" s="116">
        <v>324495000</v>
      </c>
      <c r="D235" s="387">
        <v>277100000</v>
      </c>
      <c r="E235" s="388">
        <f t="shared" si="38"/>
        <v>85.394227954205775</v>
      </c>
      <c r="F235" s="388">
        <v>87</v>
      </c>
      <c r="G235" s="111"/>
    </row>
    <row r="236" spans="1:7" ht="30" customHeight="1" x14ac:dyDescent="0.25">
      <c r="A236" s="159"/>
      <c r="B236" s="239" t="s">
        <v>690</v>
      </c>
      <c r="C236" s="116">
        <v>588308000</v>
      </c>
      <c r="D236" s="387">
        <v>584000000</v>
      </c>
      <c r="E236" s="388">
        <f t="shared" si="38"/>
        <v>99.267730508509146</v>
      </c>
      <c r="F236" s="388">
        <v>100</v>
      </c>
      <c r="G236" s="111"/>
    </row>
    <row r="237" spans="1:7" ht="20.100000000000001" customHeight="1" x14ac:dyDescent="0.25">
      <c r="A237" s="159"/>
      <c r="B237" s="239" t="s">
        <v>691</v>
      </c>
      <c r="C237" s="116">
        <v>1778400000</v>
      </c>
      <c r="D237" s="387">
        <v>517800000</v>
      </c>
      <c r="E237" s="388">
        <f t="shared" si="38"/>
        <v>29.116059379217273</v>
      </c>
      <c r="F237" s="388">
        <v>75</v>
      </c>
      <c r="G237" s="111"/>
    </row>
    <row r="238" spans="1:7" ht="20.100000000000001" customHeight="1" x14ac:dyDescent="0.25">
      <c r="A238" s="159"/>
      <c r="B238" s="238" t="s">
        <v>405</v>
      </c>
      <c r="C238" s="195">
        <v>328100000</v>
      </c>
      <c r="D238" s="385">
        <f>D239</f>
        <v>291475000</v>
      </c>
      <c r="E238" s="386">
        <f t="shared" si="38"/>
        <v>88.837244742456562</v>
      </c>
      <c r="F238" s="386">
        <f>F239/1</f>
        <v>90</v>
      </c>
      <c r="G238" s="111"/>
    </row>
    <row r="239" spans="1:7" ht="20.100000000000001" customHeight="1" x14ac:dyDescent="0.25">
      <c r="A239" s="159"/>
      <c r="B239" s="239" t="s">
        <v>692</v>
      </c>
      <c r="C239" s="116">
        <v>328100000</v>
      </c>
      <c r="D239" s="387">
        <v>291475000</v>
      </c>
      <c r="E239" s="388">
        <f t="shared" si="38"/>
        <v>88.837244742456562</v>
      </c>
      <c r="F239" s="388">
        <v>90</v>
      </c>
      <c r="G239" s="111"/>
    </row>
    <row r="240" spans="1:7" ht="20.100000000000001" customHeight="1" x14ac:dyDescent="0.25">
      <c r="A240" s="159"/>
      <c r="B240" s="238" t="s">
        <v>693</v>
      </c>
      <c r="C240" s="195">
        <v>1008000000</v>
      </c>
      <c r="D240" s="385">
        <f>SUM(D241:D242)</f>
        <v>840000000</v>
      </c>
      <c r="E240" s="386">
        <f t="shared" si="38"/>
        <v>83.333333333333343</v>
      </c>
      <c r="F240" s="386">
        <f>SUM(F241:F242)/2</f>
        <v>87.5</v>
      </c>
      <c r="G240" s="111"/>
    </row>
    <row r="241" spans="1:8" ht="20.100000000000001" customHeight="1" x14ac:dyDescent="0.25">
      <c r="A241" s="159"/>
      <c r="B241" s="239" t="s">
        <v>694</v>
      </c>
      <c r="C241" s="116">
        <v>420000000</v>
      </c>
      <c r="D241" s="387">
        <v>378000000</v>
      </c>
      <c r="E241" s="388">
        <f t="shared" si="38"/>
        <v>90</v>
      </c>
      <c r="F241" s="388">
        <v>95</v>
      </c>
      <c r="G241" s="111"/>
    </row>
    <row r="242" spans="1:8" ht="20.100000000000001" customHeight="1" x14ac:dyDescent="0.25">
      <c r="A242" s="159"/>
      <c r="B242" s="239" t="s">
        <v>695</v>
      </c>
      <c r="C242" s="116">
        <v>588000000</v>
      </c>
      <c r="D242" s="387">
        <v>462000000</v>
      </c>
      <c r="E242" s="388">
        <f t="shared" si="38"/>
        <v>78.571428571428569</v>
      </c>
      <c r="F242" s="388">
        <v>80</v>
      </c>
      <c r="G242" s="111"/>
    </row>
    <row r="243" spans="1:8" ht="20.100000000000001" customHeight="1" x14ac:dyDescent="0.25">
      <c r="A243" s="159"/>
      <c r="B243" s="238" t="s">
        <v>92</v>
      </c>
      <c r="C243" s="195">
        <v>1245000000</v>
      </c>
      <c r="D243" s="385">
        <f>SUM(D244)</f>
        <v>942895000</v>
      </c>
      <c r="E243" s="386">
        <f>SUM(E244)</f>
        <v>75.73453815261044</v>
      </c>
      <c r="F243" s="386">
        <f>SUM(F244)/1</f>
        <v>77</v>
      </c>
      <c r="G243" s="111"/>
    </row>
    <row r="244" spans="1:8" ht="20.100000000000001" customHeight="1" x14ac:dyDescent="0.25">
      <c r="A244" s="159"/>
      <c r="B244" s="239" t="s">
        <v>696</v>
      </c>
      <c r="C244" s="116">
        <v>1245000000</v>
      </c>
      <c r="D244" s="387">
        <v>942895000</v>
      </c>
      <c r="E244" s="388">
        <f>D244/C244*100</f>
        <v>75.73453815261044</v>
      </c>
      <c r="F244" s="388">
        <v>77</v>
      </c>
      <c r="G244" s="111"/>
    </row>
    <row r="245" spans="1:8" ht="20.100000000000001" customHeight="1" x14ac:dyDescent="0.25">
      <c r="A245" s="159"/>
      <c r="B245" s="238" t="s">
        <v>109</v>
      </c>
      <c r="C245" s="195">
        <v>456746600</v>
      </c>
      <c r="D245" s="385">
        <f>SUM(D246)</f>
        <v>353025000</v>
      </c>
      <c r="E245" s="386">
        <f>D245/C245*100</f>
        <v>77.291215741945322</v>
      </c>
      <c r="F245" s="386">
        <f>SUM(F246)/1</f>
        <v>80</v>
      </c>
      <c r="G245" s="111"/>
    </row>
    <row r="246" spans="1:8" ht="20.100000000000001" customHeight="1" x14ac:dyDescent="0.25">
      <c r="A246" s="159"/>
      <c r="B246" s="239" t="s">
        <v>697</v>
      </c>
      <c r="C246" s="116">
        <v>456746600</v>
      </c>
      <c r="D246" s="387">
        <v>353025000</v>
      </c>
      <c r="E246" s="388">
        <f>D246/C246*100</f>
        <v>77.291215741945322</v>
      </c>
      <c r="F246" s="388">
        <v>80</v>
      </c>
      <c r="G246" s="111"/>
    </row>
    <row r="247" spans="1:8" ht="9" customHeight="1" x14ac:dyDescent="0.25">
      <c r="A247" s="159"/>
      <c r="B247" s="111"/>
      <c r="C247" s="582"/>
      <c r="D247" s="778"/>
      <c r="E247" s="114"/>
      <c r="F247" s="114"/>
      <c r="G247" s="111"/>
    </row>
    <row r="248" spans="1:8" ht="20.100000000000001" customHeight="1" x14ac:dyDescent="0.25">
      <c r="A248" s="159"/>
      <c r="B248" s="237" t="s">
        <v>786</v>
      </c>
      <c r="C248" s="536">
        <f>C249</f>
        <v>9500000000</v>
      </c>
      <c r="D248" s="782">
        <f>+D249</f>
        <v>7200276000</v>
      </c>
      <c r="E248" s="386">
        <v>75.79237894736842</v>
      </c>
      <c r="F248" s="386">
        <v>80</v>
      </c>
      <c r="G248" s="111"/>
    </row>
    <row r="249" spans="1:8" ht="20.100000000000001" customHeight="1" x14ac:dyDescent="0.25">
      <c r="A249" s="159"/>
      <c r="B249" s="238" t="s">
        <v>787</v>
      </c>
      <c r="C249" s="536">
        <f>C250</f>
        <v>9500000000</v>
      </c>
      <c r="D249" s="782">
        <f>+D250</f>
        <v>7200276000</v>
      </c>
      <c r="E249" s="386">
        <v>75.79237894736842</v>
      </c>
      <c r="F249" s="386">
        <v>80</v>
      </c>
      <c r="G249" s="111"/>
    </row>
    <row r="250" spans="1:8" ht="20.100000000000001" customHeight="1" x14ac:dyDescent="0.25">
      <c r="A250" s="159"/>
      <c r="B250" s="239" t="s">
        <v>788</v>
      </c>
      <c r="C250" s="537">
        <v>9500000000</v>
      </c>
      <c r="D250" s="783">
        <v>7200276000</v>
      </c>
      <c r="E250" s="388">
        <v>75.79237894736842</v>
      </c>
      <c r="F250" s="388">
        <v>80</v>
      </c>
      <c r="G250" s="111"/>
    </row>
    <row r="251" spans="1:8" ht="9" customHeight="1" x14ac:dyDescent="0.25">
      <c r="A251" s="159"/>
      <c r="B251" s="111"/>
      <c r="C251" s="582"/>
      <c r="D251" s="778"/>
      <c r="E251" s="117"/>
      <c r="F251" s="117"/>
      <c r="G251" s="111"/>
    </row>
    <row r="252" spans="1:8" s="115" customFormat="1" ht="20.100000000000001" customHeight="1" x14ac:dyDescent="0.25">
      <c r="A252" s="222" t="s">
        <v>795</v>
      </c>
      <c r="B252" s="241" t="s">
        <v>4003</v>
      </c>
      <c r="C252" s="598">
        <f>+C253+C288+C294+C299+C305+C311</f>
        <v>36112031200</v>
      </c>
      <c r="D252" s="784">
        <f>+D253+D288+D294+D299+D305+D311</f>
        <v>33985928560</v>
      </c>
      <c r="E252" s="363">
        <f t="shared" ref="E252:E286" si="39">D252/C252*100</f>
        <v>94.112481161126155</v>
      </c>
      <c r="F252" s="246">
        <f>D252/C252*E252</f>
        <v>88.571591103033256</v>
      </c>
      <c r="G252" s="598"/>
      <c r="H252" s="324"/>
    </row>
    <row r="253" spans="1:8" s="115" customFormat="1" ht="20.100000000000001" customHeight="1" x14ac:dyDescent="0.25">
      <c r="A253" s="222"/>
      <c r="B253" s="48" t="s">
        <v>82</v>
      </c>
      <c r="C253" s="125">
        <f>C254+C260+C275+C277+C282+C285</f>
        <v>22104031200</v>
      </c>
      <c r="D253" s="784">
        <f>D254+D260+D275+D277+D282+D285</f>
        <v>21702308860</v>
      </c>
      <c r="E253" s="363">
        <f t="shared" si="39"/>
        <v>98.18258336515558</v>
      </c>
      <c r="F253" s="246">
        <f>D253/C253*E253</f>
        <v>96.398196762557262</v>
      </c>
      <c r="G253" s="125"/>
    </row>
    <row r="254" spans="1:8" s="115" customFormat="1" ht="20.100000000000001" customHeight="1" x14ac:dyDescent="0.25">
      <c r="A254" s="222"/>
      <c r="B254" s="48" t="s">
        <v>797</v>
      </c>
      <c r="C254" s="125">
        <f>SUM(C255:C259)</f>
        <v>5230000000</v>
      </c>
      <c r="D254" s="784">
        <f>SUM(D255:D259)</f>
        <v>5154080700</v>
      </c>
      <c r="E254" s="363">
        <f t="shared" si="39"/>
        <v>98.548388145315485</v>
      </c>
      <c r="F254" s="246">
        <f>D254/C254*E254</f>
        <v>97.117848060397577</v>
      </c>
      <c r="G254" s="125"/>
    </row>
    <row r="255" spans="1:8" ht="20.100000000000001" customHeight="1" x14ac:dyDescent="0.25">
      <c r="A255" s="222"/>
      <c r="B255" s="32" t="s">
        <v>798</v>
      </c>
      <c r="C255" s="582">
        <v>150000000</v>
      </c>
      <c r="D255" s="785">
        <v>142570700</v>
      </c>
      <c r="E255" s="364">
        <f t="shared" si="39"/>
        <v>95.047133333333335</v>
      </c>
      <c r="F255" s="247">
        <f t="shared" ref="F255:F286" si="40">D255/C255*E255</f>
        <v>90.339575548844451</v>
      </c>
      <c r="G255" s="582"/>
    </row>
    <row r="256" spans="1:8" ht="20.100000000000001" customHeight="1" x14ac:dyDescent="0.25">
      <c r="A256" s="222"/>
      <c r="B256" s="32" t="s">
        <v>799</v>
      </c>
      <c r="C256" s="582">
        <v>1980000000</v>
      </c>
      <c r="D256" s="785">
        <v>1943325000</v>
      </c>
      <c r="E256" s="364">
        <f t="shared" si="39"/>
        <v>98.147727272727266</v>
      </c>
      <c r="F256" s="247">
        <f t="shared" si="40"/>
        <v>96.329763688016513</v>
      </c>
      <c r="G256" s="582"/>
    </row>
    <row r="257" spans="1:7" ht="20.100000000000001" customHeight="1" x14ac:dyDescent="0.25">
      <c r="A257" s="222"/>
      <c r="B257" s="32" t="s">
        <v>800</v>
      </c>
      <c r="C257" s="582">
        <v>300000000</v>
      </c>
      <c r="D257" s="785">
        <v>293185000</v>
      </c>
      <c r="E257" s="364">
        <f t="shared" si="39"/>
        <v>97.728333333333325</v>
      </c>
      <c r="F257" s="247">
        <f t="shared" si="40"/>
        <v>95.508271361111099</v>
      </c>
      <c r="G257" s="582"/>
    </row>
    <row r="258" spans="1:7" ht="20.100000000000001" customHeight="1" x14ac:dyDescent="0.25">
      <c r="A258" s="222"/>
      <c r="B258" s="32" t="s">
        <v>801</v>
      </c>
      <c r="C258" s="582">
        <v>2500000000</v>
      </c>
      <c r="D258" s="785">
        <v>2475000000</v>
      </c>
      <c r="E258" s="364">
        <f t="shared" si="39"/>
        <v>99</v>
      </c>
      <c r="F258" s="247">
        <f t="shared" si="40"/>
        <v>98.01</v>
      </c>
      <c r="G258" s="582"/>
    </row>
    <row r="259" spans="1:7" ht="20.100000000000001" customHeight="1" x14ac:dyDescent="0.25">
      <c r="A259" s="222"/>
      <c r="B259" s="119" t="s">
        <v>802</v>
      </c>
      <c r="C259" s="582">
        <v>300000000</v>
      </c>
      <c r="D259" s="785">
        <v>300000000</v>
      </c>
      <c r="E259" s="364">
        <f t="shared" si="39"/>
        <v>100</v>
      </c>
      <c r="F259" s="247">
        <f t="shared" si="40"/>
        <v>100</v>
      </c>
      <c r="G259" s="582"/>
    </row>
    <row r="260" spans="1:7" s="115" customFormat="1" ht="20.100000000000001" customHeight="1" x14ac:dyDescent="0.25">
      <c r="A260" s="222"/>
      <c r="B260" s="48" t="s">
        <v>680</v>
      </c>
      <c r="C260" s="125">
        <f>SUM(C261:C274)</f>
        <v>11344031200</v>
      </c>
      <c r="D260" s="784">
        <f>SUM(D261:D274)</f>
        <v>11069586263</v>
      </c>
      <c r="E260" s="363">
        <f t="shared" si="39"/>
        <v>97.580710664829624</v>
      </c>
      <c r="F260" s="246">
        <f t="shared" si="40"/>
        <v>95.219950938531937</v>
      </c>
      <c r="G260" s="125"/>
    </row>
    <row r="261" spans="1:7" ht="20.100000000000001" customHeight="1" x14ac:dyDescent="0.25">
      <c r="A261" s="222"/>
      <c r="B261" s="32" t="s">
        <v>803</v>
      </c>
      <c r="C261" s="582">
        <v>1890000000</v>
      </c>
      <c r="D261" s="785">
        <v>1859335000</v>
      </c>
      <c r="E261" s="364">
        <f t="shared" si="39"/>
        <v>98.377513227513219</v>
      </c>
      <c r="F261" s="247">
        <f t="shared" si="40"/>
        <v>96.781351088295395</v>
      </c>
      <c r="G261" s="582"/>
    </row>
    <row r="262" spans="1:7" ht="30" customHeight="1" x14ac:dyDescent="0.25">
      <c r="A262" s="390"/>
      <c r="B262" s="119" t="s">
        <v>804</v>
      </c>
      <c r="C262" s="582">
        <v>125000000</v>
      </c>
      <c r="D262" s="785">
        <v>123951000</v>
      </c>
      <c r="E262" s="364">
        <f t="shared" si="39"/>
        <v>99.160800000000009</v>
      </c>
      <c r="F262" s="247">
        <f t="shared" si="40"/>
        <v>98.328642566400006</v>
      </c>
      <c r="G262" s="582"/>
    </row>
    <row r="263" spans="1:7" ht="20.100000000000001" customHeight="1" x14ac:dyDescent="0.25">
      <c r="A263" s="222"/>
      <c r="B263" s="32" t="s">
        <v>805</v>
      </c>
      <c r="C263" s="582">
        <v>200000000</v>
      </c>
      <c r="D263" s="785">
        <v>190422700</v>
      </c>
      <c r="E263" s="364">
        <f t="shared" si="39"/>
        <v>95.211349999999996</v>
      </c>
      <c r="F263" s="247">
        <f t="shared" si="40"/>
        <v>90.652011688224988</v>
      </c>
      <c r="G263" s="582"/>
    </row>
    <row r="264" spans="1:7" ht="30" customHeight="1" x14ac:dyDescent="0.25">
      <c r="A264" s="222"/>
      <c r="B264" s="119" t="s">
        <v>806</v>
      </c>
      <c r="C264" s="582">
        <v>200000000</v>
      </c>
      <c r="D264" s="785">
        <v>200000000</v>
      </c>
      <c r="E264" s="364">
        <f t="shared" si="39"/>
        <v>100</v>
      </c>
      <c r="F264" s="247">
        <f t="shared" si="40"/>
        <v>100</v>
      </c>
      <c r="G264" s="582"/>
    </row>
    <row r="265" spans="1:7" ht="20.100000000000001" customHeight="1" x14ac:dyDescent="0.25">
      <c r="A265" s="222"/>
      <c r="B265" s="32" t="s">
        <v>807</v>
      </c>
      <c r="C265" s="582">
        <v>75000000</v>
      </c>
      <c r="D265" s="785">
        <v>74354000</v>
      </c>
      <c r="E265" s="364">
        <f t="shared" si="39"/>
        <v>99.138666666666666</v>
      </c>
      <c r="F265" s="247">
        <f t="shared" si="40"/>
        <v>98.284752284444437</v>
      </c>
      <c r="G265" s="582"/>
    </row>
    <row r="266" spans="1:7" ht="20.100000000000001" customHeight="1" x14ac:dyDescent="0.25">
      <c r="A266" s="222"/>
      <c r="B266" s="32" t="s">
        <v>808</v>
      </c>
      <c r="C266" s="582">
        <v>100000000</v>
      </c>
      <c r="D266" s="785">
        <v>57072363</v>
      </c>
      <c r="E266" s="364">
        <f t="shared" si="39"/>
        <v>57.072363000000003</v>
      </c>
      <c r="F266" s="247">
        <f t="shared" si="40"/>
        <v>32.572546184037691</v>
      </c>
      <c r="G266" s="582"/>
    </row>
    <row r="267" spans="1:7" ht="20.100000000000001" customHeight="1" x14ac:dyDescent="0.25">
      <c r="A267" s="222"/>
      <c r="B267" s="32" t="s">
        <v>809</v>
      </c>
      <c r="C267" s="582">
        <v>100000000</v>
      </c>
      <c r="D267" s="785">
        <v>98196000</v>
      </c>
      <c r="E267" s="364">
        <f t="shared" si="39"/>
        <v>98.196000000000012</v>
      </c>
      <c r="F267" s="247">
        <f t="shared" si="40"/>
        <v>96.424544160000011</v>
      </c>
      <c r="G267" s="582"/>
    </row>
    <row r="268" spans="1:7" ht="20.100000000000001" customHeight="1" x14ac:dyDescent="0.25">
      <c r="A268" s="222"/>
      <c r="B268" s="32" t="s">
        <v>810</v>
      </c>
      <c r="C268" s="582">
        <v>4216464000</v>
      </c>
      <c r="D268" s="785">
        <v>4116012000</v>
      </c>
      <c r="E268" s="364">
        <f t="shared" si="39"/>
        <v>97.617624625752768</v>
      </c>
      <c r="F268" s="247">
        <f t="shared" si="40"/>
        <v>95.292006375743725</v>
      </c>
      <c r="G268" s="582"/>
    </row>
    <row r="269" spans="1:7" ht="20.100000000000001" customHeight="1" x14ac:dyDescent="0.25">
      <c r="A269" s="222"/>
      <c r="B269" s="32" t="s">
        <v>811</v>
      </c>
      <c r="C269" s="582">
        <v>1615680000</v>
      </c>
      <c r="D269" s="785">
        <v>1549007000</v>
      </c>
      <c r="E269" s="364">
        <f t="shared" si="39"/>
        <v>95.873378391760738</v>
      </c>
      <c r="F269" s="247">
        <f t="shared" si="40"/>
        <v>91.917046842497356</v>
      </c>
      <c r="G269" s="582"/>
    </row>
    <row r="270" spans="1:7" ht="20.100000000000001" customHeight="1" x14ac:dyDescent="0.25">
      <c r="A270" s="390"/>
      <c r="B270" s="119" t="s">
        <v>812</v>
      </c>
      <c r="C270" s="582">
        <v>171887200</v>
      </c>
      <c r="D270" s="785">
        <v>171887200</v>
      </c>
      <c r="E270" s="364">
        <f t="shared" si="39"/>
        <v>100</v>
      </c>
      <c r="F270" s="247">
        <f t="shared" si="40"/>
        <v>100</v>
      </c>
      <c r="G270" s="582"/>
    </row>
    <row r="271" spans="1:7" ht="20.100000000000001" customHeight="1" x14ac:dyDescent="0.25">
      <c r="A271" s="222"/>
      <c r="B271" s="32" t="s">
        <v>813</v>
      </c>
      <c r="C271" s="582">
        <v>125000000</v>
      </c>
      <c r="D271" s="785">
        <v>117000000</v>
      </c>
      <c r="E271" s="364">
        <f t="shared" si="39"/>
        <v>93.600000000000009</v>
      </c>
      <c r="F271" s="247">
        <f t="shared" si="40"/>
        <v>87.609600000000015</v>
      </c>
      <c r="G271" s="582"/>
    </row>
    <row r="272" spans="1:7" ht="20.100000000000001" customHeight="1" x14ac:dyDescent="0.25">
      <c r="A272" s="222"/>
      <c r="B272" s="32" t="s">
        <v>814</v>
      </c>
      <c r="C272" s="582">
        <v>75000000</v>
      </c>
      <c r="D272" s="785">
        <v>72285000</v>
      </c>
      <c r="E272" s="364">
        <f t="shared" si="39"/>
        <v>96.38</v>
      </c>
      <c r="F272" s="247">
        <f t="shared" si="40"/>
        <v>92.891043999999994</v>
      </c>
      <c r="G272" s="582"/>
    </row>
    <row r="273" spans="1:7" ht="20.100000000000001" customHeight="1" x14ac:dyDescent="0.25">
      <c r="A273" s="222"/>
      <c r="B273" s="32" t="s">
        <v>815</v>
      </c>
      <c r="C273" s="582">
        <v>950000000</v>
      </c>
      <c r="D273" s="785">
        <v>945531000</v>
      </c>
      <c r="E273" s="364">
        <f t="shared" si="39"/>
        <v>99.529578947368421</v>
      </c>
      <c r="F273" s="247">
        <f t="shared" si="40"/>
        <v>99.06137085440443</v>
      </c>
      <c r="G273" s="582"/>
    </row>
    <row r="274" spans="1:7" ht="20.100000000000001" customHeight="1" x14ac:dyDescent="0.25">
      <c r="A274" s="222"/>
      <c r="B274" s="32" t="s">
        <v>816</v>
      </c>
      <c r="C274" s="582">
        <v>1500000000</v>
      </c>
      <c r="D274" s="785">
        <v>1494533000</v>
      </c>
      <c r="E274" s="364">
        <f t="shared" si="39"/>
        <v>99.635533333333342</v>
      </c>
      <c r="F274" s="247">
        <f t="shared" si="40"/>
        <v>99.27239502617779</v>
      </c>
      <c r="G274" s="582"/>
    </row>
    <row r="275" spans="1:7" s="115" customFormat="1" ht="20.100000000000001" customHeight="1" x14ac:dyDescent="0.25">
      <c r="A275" s="222"/>
      <c r="B275" s="48" t="s">
        <v>693</v>
      </c>
      <c r="C275" s="125">
        <f>C276</f>
        <v>900000000</v>
      </c>
      <c r="D275" s="784">
        <f>D276</f>
        <v>893200000</v>
      </c>
      <c r="E275" s="363">
        <f t="shared" si="39"/>
        <v>99.24444444444444</v>
      </c>
      <c r="F275" s="246">
        <f t="shared" si="40"/>
        <v>98.494597530864198</v>
      </c>
      <c r="G275" s="125"/>
    </row>
    <row r="276" spans="1:7" ht="20.100000000000001" customHeight="1" x14ac:dyDescent="0.25">
      <c r="A276" s="390"/>
      <c r="B276" s="32" t="s">
        <v>817</v>
      </c>
      <c r="C276" s="582">
        <v>900000000</v>
      </c>
      <c r="D276" s="785">
        <v>893200000</v>
      </c>
      <c r="E276" s="364">
        <f t="shared" si="39"/>
        <v>99.24444444444444</v>
      </c>
      <c r="F276" s="247">
        <f t="shared" si="40"/>
        <v>98.494597530864198</v>
      </c>
      <c r="G276" s="582"/>
    </row>
    <row r="277" spans="1:7" s="115" customFormat="1" ht="20.100000000000001" customHeight="1" x14ac:dyDescent="0.25">
      <c r="A277" s="222"/>
      <c r="B277" s="48" t="s">
        <v>92</v>
      </c>
      <c r="C277" s="125">
        <f>SUM(C278:C281)</f>
        <v>2100000000</v>
      </c>
      <c r="D277" s="784">
        <f>SUM(D278:D281)</f>
        <v>2096652000</v>
      </c>
      <c r="E277" s="363">
        <f t="shared" si="39"/>
        <v>99.840571428571437</v>
      </c>
      <c r="F277" s="246">
        <f t="shared" si="40"/>
        <v>99.681397031836752</v>
      </c>
      <c r="G277" s="125"/>
    </row>
    <row r="278" spans="1:7" ht="30.75" customHeight="1" x14ac:dyDescent="0.25">
      <c r="A278" s="222"/>
      <c r="B278" s="119" t="s">
        <v>818</v>
      </c>
      <c r="C278" s="582">
        <v>480000000</v>
      </c>
      <c r="D278" s="785">
        <v>480000000</v>
      </c>
      <c r="E278" s="364">
        <f t="shared" si="39"/>
        <v>100</v>
      </c>
      <c r="F278" s="247">
        <f t="shared" si="40"/>
        <v>100</v>
      </c>
      <c r="G278" s="582"/>
    </row>
    <row r="279" spans="1:7" ht="20.100000000000001" customHeight="1" x14ac:dyDescent="0.25">
      <c r="A279" s="222"/>
      <c r="B279" s="32" t="s">
        <v>819</v>
      </c>
      <c r="C279" s="582">
        <v>120000000</v>
      </c>
      <c r="D279" s="785">
        <v>119708000</v>
      </c>
      <c r="E279" s="364">
        <f t="shared" si="39"/>
        <v>99.756666666666675</v>
      </c>
      <c r="F279" s="247">
        <f t="shared" si="40"/>
        <v>99.513925444444453</v>
      </c>
      <c r="G279" s="582"/>
    </row>
    <row r="280" spans="1:7" ht="20.100000000000001" customHeight="1" x14ac:dyDescent="0.25">
      <c r="A280" s="222"/>
      <c r="B280" s="119" t="s">
        <v>820</v>
      </c>
      <c r="C280" s="582">
        <v>300000000</v>
      </c>
      <c r="D280" s="785">
        <v>300000000</v>
      </c>
      <c r="E280" s="364">
        <f t="shared" si="39"/>
        <v>100</v>
      </c>
      <c r="F280" s="247">
        <f t="shared" si="40"/>
        <v>100</v>
      </c>
      <c r="G280" s="582"/>
    </row>
    <row r="281" spans="1:7" ht="20.100000000000001" customHeight="1" x14ac:dyDescent="0.25">
      <c r="A281" s="222"/>
      <c r="B281" s="32" t="s">
        <v>821</v>
      </c>
      <c r="C281" s="582">
        <v>1200000000</v>
      </c>
      <c r="D281" s="785">
        <v>1196944000</v>
      </c>
      <c r="E281" s="364">
        <f t="shared" si="39"/>
        <v>99.745333333333335</v>
      </c>
      <c r="F281" s="247">
        <f t="shared" si="40"/>
        <v>99.491315217777782</v>
      </c>
      <c r="G281" s="582"/>
    </row>
    <row r="282" spans="1:7" s="115" customFormat="1" ht="20.100000000000001" customHeight="1" x14ac:dyDescent="0.25">
      <c r="A282" s="222"/>
      <c r="B282" s="48" t="s">
        <v>100</v>
      </c>
      <c r="C282" s="125">
        <f>SUM(C283:C284)</f>
        <v>630000000</v>
      </c>
      <c r="D282" s="784">
        <f>SUM(D283:D284)</f>
        <v>629935497</v>
      </c>
      <c r="E282" s="363">
        <f t="shared" si="39"/>
        <v>99.989761428571427</v>
      </c>
      <c r="F282" s="246">
        <f t="shared" si="40"/>
        <v>99.979523905426305</v>
      </c>
      <c r="G282" s="125"/>
    </row>
    <row r="283" spans="1:7" ht="20.100000000000001" customHeight="1" x14ac:dyDescent="0.25">
      <c r="A283" s="222"/>
      <c r="B283" s="32" t="s">
        <v>101</v>
      </c>
      <c r="C283" s="582">
        <v>510000000</v>
      </c>
      <c r="D283" s="785">
        <v>509935497</v>
      </c>
      <c r="E283" s="364">
        <f t="shared" si="39"/>
        <v>99.987352352941173</v>
      </c>
      <c r="F283" s="247">
        <f t="shared" si="40"/>
        <v>99.9747063055121</v>
      </c>
      <c r="G283" s="582"/>
    </row>
    <row r="284" spans="1:7" ht="20.100000000000001" customHeight="1" x14ac:dyDescent="0.25">
      <c r="A284" s="222"/>
      <c r="B284" s="32" t="s">
        <v>822</v>
      </c>
      <c r="C284" s="582">
        <v>120000000</v>
      </c>
      <c r="D284" s="785">
        <v>120000000</v>
      </c>
      <c r="E284" s="364">
        <f t="shared" si="39"/>
        <v>100</v>
      </c>
      <c r="F284" s="247">
        <f t="shared" si="40"/>
        <v>100</v>
      </c>
      <c r="G284" s="582"/>
    </row>
    <row r="285" spans="1:7" s="115" customFormat="1" ht="20.100000000000001" customHeight="1" x14ac:dyDescent="0.25">
      <c r="A285" s="222"/>
      <c r="B285" s="48" t="s">
        <v>109</v>
      </c>
      <c r="C285" s="125">
        <f>C286</f>
        <v>1900000000</v>
      </c>
      <c r="D285" s="784">
        <f>D286</f>
        <v>1858854400</v>
      </c>
      <c r="E285" s="363">
        <f t="shared" si="39"/>
        <v>97.83444210526315</v>
      </c>
      <c r="F285" s="246">
        <f t="shared" si="40"/>
        <v>95.715780620480871</v>
      </c>
      <c r="G285" s="125"/>
    </row>
    <row r="286" spans="1:7" ht="20.100000000000001" customHeight="1" x14ac:dyDescent="0.25">
      <c r="A286" s="222"/>
      <c r="B286" s="32" t="s">
        <v>823</v>
      </c>
      <c r="C286" s="582">
        <v>1900000000</v>
      </c>
      <c r="D286" s="785">
        <v>1858854400</v>
      </c>
      <c r="E286" s="364">
        <f t="shared" si="39"/>
        <v>97.83444210526315</v>
      </c>
      <c r="F286" s="247">
        <f t="shared" si="40"/>
        <v>95.715780620480871</v>
      </c>
      <c r="G286" s="582"/>
    </row>
    <row r="287" spans="1:7" ht="9.75" customHeight="1" x14ac:dyDescent="0.25">
      <c r="A287" s="222"/>
      <c r="B287" s="111"/>
      <c r="C287" s="582"/>
      <c r="D287" s="786"/>
      <c r="E287" s="117"/>
      <c r="F287" s="114"/>
      <c r="G287" s="582"/>
    </row>
    <row r="288" spans="1:7" s="115" customFormat="1" ht="20.100000000000001" customHeight="1" x14ac:dyDescent="0.25">
      <c r="A288" s="222"/>
      <c r="B288" s="48" t="s">
        <v>934</v>
      </c>
      <c r="C288" s="125">
        <f>C289+C291</f>
        <v>650000000</v>
      </c>
      <c r="D288" s="784">
        <f>+D289+D291</f>
        <v>649250000</v>
      </c>
      <c r="E288" s="363">
        <f t="shared" ref="E288:E297" si="41">D288/C288*100</f>
        <v>99.884615384615387</v>
      </c>
      <c r="F288" s="246">
        <f t="shared" ref="F288:F297" si="42">D288/C288*E288</f>
        <v>99.769363905325449</v>
      </c>
      <c r="G288" s="593"/>
    </row>
    <row r="289" spans="1:7" s="115" customFormat="1" ht="20.100000000000001" customHeight="1" x14ac:dyDescent="0.25">
      <c r="A289" s="222"/>
      <c r="B289" s="48" t="s">
        <v>935</v>
      </c>
      <c r="C289" s="125">
        <f>C290</f>
        <v>250000000</v>
      </c>
      <c r="D289" s="784">
        <f>D290</f>
        <v>250000000</v>
      </c>
      <c r="E289" s="363">
        <f t="shared" si="41"/>
        <v>100</v>
      </c>
      <c r="F289" s="246">
        <f t="shared" si="42"/>
        <v>100</v>
      </c>
      <c r="G289" s="125"/>
    </row>
    <row r="290" spans="1:7" ht="20.100000000000001" customHeight="1" x14ac:dyDescent="0.25">
      <c r="A290" s="222"/>
      <c r="B290" s="119" t="s">
        <v>936</v>
      </c>
      <c r="C290" s="582">
        <v>250000000</v>
      </c>
      <c r="D290" s="785">
        <v>250000000</v>
      </c>
      <c r="E290" s="364">
        <f t="shared" si="41"/>
        <v>100</v>
      </c>
      <c r="F290" s="247">
        <f t="shared" si="42"/>
        <v>100</v>
      </c>
      <c r="G290" s="125"/>
    </row>
    <row r="291" spans="1:7" s="115" customFormat="1" ht="20.100000000000001" customHeight="1" x14ac:dyDescent="0.25">
      <c r="A291" s="222"/>
      <c r="B291" s="48" t="s">
        <v>937</v>
      </c>
      <c r="C291" s="125">
        <f>C292</f>
        <v>400000000</v>
      </c>
      <c r="D291" s="784">
        <f>D292</f>
        <v>399250000</v>
      </c>
      <c r="E291" s="363">
        <f t="shared" si="41"/>
        <v>99.8125</v>
      </c>
      <c r="F291" s="246">
        <f t="shared" si="42"/>
        <v>99.625351562500001</v>
      </c>
      <c r="G291" s="582"/>
    </row>
    <row r="292" spans="1:7" ht="20.100000000000001" customHeight="1" x14ac:dyDescent="0.25">
      <c r="A292" s="222"/>
      <c r="B292" s="32" t="s">
        <v>938</v>
      </c>
      <c r="C292" s="582">
        <v>400000000</v>
      </c>
      <c r="D292" s="785">
        <v>399250000</v>
      </c>
      <c r="E292" s="364">
        <f t="shared" si="41"/>
        <v>99.8125</v>
      </c>
      <c r="F292" s="247">
        <f t="shared" si="42"/>
        <v>99.625351562500001</v>
      </c>
      <c r="G292" s="125"/>
    </row>
    <row r="293" spans="1:7" ht="9.75" customHeight="1" x14ac:dyDescent="0.25">
      <c r="A293" s="222"/>
      <c r="B293" s="32"/>
      <c r="C293" s="582"/>
      <c r="D293" s="785"/>
      <c r="E293" s="364"/>
      <c r="F293" s="247"/>
      <c r="G293" s="582"/>
    </row>
    <row r="294" spans="1:7" s="115" customFormat="1" ht="20.100000000000001" customHeight="1" x14ac:dyDescent="0.25">
      <c r="A294" s="222"/>
      <c r="B294" s="48" t="s">
        <v>964</v>
      </c>
      <c r="C294" s="125">
        <f>C296+C297</f>
        <v>10158000000</v>
      </c>
      <c r="D294" s="242">
        <f>D295</f>
        <v>8784000000</v>
      </c>
      <c r="E294" s="363">
        <f t="shared" si="41"/>
        <v>86.473715298287061</v>
      </c>
      <c r="F294" s="246">
        <f t="shared" si="42"/>
        <v>74.777034374892068</v>
      </c>
      <c r="G294" s="125"/>
    </row>
    <row r="295" spans="1:7" s="115" customFormat="1" ht="20.100000000000001" customHeight="1" x14ac:dyDescent="0.25">
      <c r="A295" s="222"/>
      <c r="B295" s="48" t="s">
        <v>965</v>
      </c>
      <c r="C295" s="125">
        <f>C296+C297</f>
        <v>10158000000</v>
      </c>
      <c r="D295" s="242">
        <f>D296+D297</f>
        <v>8784000000</v>
      </c>
      <c r="E295" s="363">
        <f t="shared" si="41"/>
        <v>86.473715298287061</v>
      </c>
      <c r="F295" s="246">
        <f t="shared" si="42"/>
        <v>74.777034374892068</v>
      </c>
      <c r="G295" s="582"/>
    </row>
    <row r="296" spans="1:7" ht="20.100000000000001" customHeight="1" x14ac:dyDescent="0.25">
      <c r="A296" s="222"/>
      <c r="B296" s="32" t="s">
        <v>972</v>
      </c>
      <c r="C296" s="582">
        <v>6000000000</v>
      </c>
      <c r="D296" s="785">
        <v>4626000000</v>
      </c>
      <c r="E296" s="364">
        <f t="shared" si="41"/>
        <v>77.100000000000009</v>
      </c>
      <c r="F296" s="247">
        <f t="shared" si="42"/>
        <v>59.444100000000006</v>
      </c>
      <c r="G296" s="582"/>
    </row>
    <row r="297" spans="1:7" ht="20.100000000000001" customHeight="1" x14ac:dyDescent="0.25">
      <c r="A297" s="222"/>
      <c r="B297" s="32" t="s">
        <v>973</v>
      </c>
      <c r="C297" s="582">
        <v>4158000000</v>
      </c>
      <c r="D297" s="785">
        <v>4158000000</v>
      </c>
      <c r="E297" s="364">
        <f t="shared" si="41"/>
        <v>100</v>
      </c>
      <c r="F297" s="247">
        <f t="shared" si="42"/>
        <v>100</v>
      </c>
      <c r="G297" s="582"/>
    </row>
    <row r="298" spans="1:7" ht="9.75" customHeight="1" x14ac:dyDescent="0.25">
      <c r="A298" s="222"/>
      <c r="B298" s="32"/>
      <c r="C298" s="582"/>
      <c r="D298" s="778"/>
      <c r="E298" s="117"/>
      <c r="F298" s="114"/>
      <c r="G298" s="582"/>
    </row>
    <row r="299" spans="1:7" s="115" customFormat="1" ht="20.100000000000001" customHeight="1" x14ac:dyDescent="0.25">
      <c r="A299" s="222"/>
      <c r="B299" s="48" t="s">
        <v>329</v>
      </c>
      <c r="C299" s="125">
        <f>C302+C300</f>
        <v>1450000000</v>
      </c>
      <c r="D299" s="779">
        <f>+D300+D302</f>
        <v>1166523000</v>
      </c>
      <c r="E299" s="114">
        <f>D299/C299*100</f>
        <v>80.449862068965516</v>
      </c>
      <c r="F299" s="114">
        <f>(F300+F302)/2</f>
        <v>79.167166997534736</v>
      </c>
      <c r="G299" s="582"/>
    </row>
    <row r="300" spans="1:7" s="115" customFormat="1" ht="20.100000000000001" customHeight="1" x14ac:dyDescent="0.25">
      <c r="A300" s="222"/>
      <c r="B300" s="48" t="s">
        <v>705</v>
      </c>
      <c r="C300" s="125">
        <f>+C301</f>
        <v>250000000</v>
      </c>
      <c r="D300" s="784">
        <f>D301</f>
        <v>250000000</v>
      </c>
      <c r="E300" s="363">
        <f>D300/C300*100</f>
        <v>100</v>
      </c>
      <c r="F300" s="246">
        <f>D300/C300*E300</f>
        <v>100</v>
      </c>
      <c r="G300" s="125"/>
    </row>
    <row r="301" spans="1:7" ht="20.100000000000001" customHeight="1" x14ac:dyDescent="0.25">
      <c r="A301" s="222"/>
      <c r="B301" s="32" t="s">
        <v>926</v>
      </c>
      <c r="C301" s="582">
        <v>250000000</v>
      </c>
      <c r="D301" s="785">
        <v>250000000</v>
      </c>
      <c r="E301" s="364">
        <f>D301/C301*100</f>
        <v>100</v>
      </c>
      <c r="F301" s="247">
        <f>D301/C301*E301</f>
        <v>100</v>
      </c>
      <c r="G301" s="582"/>
    </row>
    <row r="302" spans="1:7" s="115" customFormat="1" ht="20.100000000000001" customHeight="1" x14ac:dyDescent="0.25">
      <c r="A302" s="222"/>
      <c r="B302" s="48" t="s">
        <v>927</v>
      </c>
      <c r="C302" s="125">
        <f>C303</f>
        <v>1200000000</v>
      </c>
      <c r="D302" s="784">
        <f>D303</f>
        <v>916523000</v>
      </c>
      <c r="E302" s="363">
        <f>D302/C302*100</f>
        <v>76.376916666666673</v>
      </c>
      <c r="F302" s="246">
        <f>D302/C302*E302</f>
        <v>58.334333995069457</v>
      </c>
      <c r="G302" s="125"/>
    </row>
    <row r="303" spans="1:7" ht="20.100000000000001" customHeight="1" x14ac:dyDescent="0.25">
      <c r="A303" s="222"/>
      <c r="B303" s="119" t="s">
        <v>928</v>
      </c>
      <c r="C303" s="582">
        <v>1200000000</v>
      </c>
      <c r="D303" s="785">
        <v>916523000</v>
      </c>
      <c r="E303" s="364">
        <f>D303/C303*100</f>
        <v>76.376916666666673</v>
      </c>
      <c r="F303" s="247">
        <f>D303/C303*E303</f>
        <v>58.334333995069457</v>
      </c>
      <c r="G303" s="582"/>
    </row>
    <row r="304" spans="1:7" ht="9.75" customHeight="1" x14ac:dyDescent="0.25">
      <c r="A304" s="222"/>
      <c r="B304" s="111"/>
      <c r="C304" s="582"/>
      <c r="D304" s="778"/>
      <c r="E304" s="117"/>
      <c r="F304" s="114"/>
      <c r="G304" s="582"/>
    </row>
    <row r="305" spans="1:8" s="115" customFormat="1" ht="20.100000000000001" customHeight="1" x14ac:dyDescent="0.25">
      <c r="A305" s="222"/>
      <c r="B305" s="48" t="s">
        <v>770</v>
      </c>
      <c r="C305" s="125">
        <f>+C306+C308</f>
        <v>750000000</v>
      </c>
      <c r="D305" s="779">
        <f>+D306+D308</f>
        <v>686022700</v>
      </c>
      <c r="E305" s="114">
        <f>D305/C305*100</f>
        <v>91.469693333333339</v>
      </c>
      <c r="F305" s="114">
        <f>(F306+F308)/2</f>
        <v>87.870219557458</v>
      </c>
      <c r="G305" s="125"/>
    </row>
    <row r="306" spans="1:8" s="115" customFormat="1" ht="20.100000000000001" customHeight="1" x14ac:dyDescent="0.25">
      <c r="A306" s="222"/>
      <c r="B306" s="48" t="s">
        <v>944</v>
      </c>
      <c r="C306" s="593">
        <v>500000000</v>
      </c>
      <c r="D306" s="784">
        <f>D307</f>
        <v>436702700</v>
      </c>
      <c r="E306" s="363">
        <f>D306/C306*100</f>
        <v>87.340540000000004</v>
      </c>
      <c r="F306" s="246">
        <f>D306/C306*E306</f>
        <v>76.283699274916003</v>
      </c>
      <c r="G306" s="593"/>
    </row>
    <row r="307" spans="1:8" ht="20.100000000000001" customHeight="1" x14ac:dyDescent="0.25">
      <c r="A307" s="222"/>
      <c r="B307" s="32" t="s">
        <v>945</v>
      </c>
      <c r="C307" s="592">
        <v>500000000</v>
      </c>
      <c r="D307" s="785">
        <v>436702700</v>
      </c>
      <c r="E307" s="364">
        <f>D307/C307*100</f>
        <v>87.340540000000004</v>
      </c>
      <c r="F307" s="247">
        <f>D307/C307*E307</f>
        <v>76.283699274916003</v>
      </c>
      <c r="G307" s="592"/>
    </row>
    <row r="308" spans="1:8" s="115" customFormat="1" ht="20.100000000000001" customHeight="1" x14ac:dyDescent="0.25">
      <c r="A308" s="222"/>
      <c r="B308" s="48" t="s">
        <v>949</v>
      </c>
      <c r="C308" s="125">
        <f>+C309</f>
        <v>250000000</v>
      </c>
      <c r="D308" s="784">
        <f>D309</f>
        <v>249320000</v>
      </c>
      <c r="E308" s="363">
        <f>D308/C308*100</f>
        <v>99.728000000000009</v>
      </c>
      <c r="F308" s="246">
        <f>D308/C308*E308</f>
        <v>99.456739840000012</v>
      </c>
      <c r="G308" s="125"/>
    </row>
    <row r="309" spans="1:8" ht="20.100000000000001" customHeight="1" x14ac:dyDescent="0.25">
      <c r="A309" s="222"/>
      <c r="B309" s="32" t="s">
        <v>950</v>
      </c>
      <c r="C309" s="592">
        <v>250000000</v>
      </c>
      <c r="D309" s="785">
        <v>249320000</v>
      </c>
      <c r="E309" s="364">
        <f>D309/C309*100</f>
        <v>99.728000000000009</v>
      </c>
      <c r="F309" s="247">
        <f>D309/C309*E309</f>
        <v>99.456739840000012</v>
      </c>
      <c r="G309" s="592"/>
    </row>
    <row r="310" spans="1:8" ht="9.9499999999999993" customHeight="1" x14ac:dyDescent="0.25">
      <c r="A310" s="222"/>
      <c r="B310" s="32"/>
      <c r="C310" s="582"/>
      <c r="D310" s="784"/>
      <c r="E310" s="364"/>
      <c r="F310" s="247"/>
      <c r="G310" s="582"/>
    </row>
    <row r="311" spans="1:8" s="115" customFormat="1" ht="20.100000000000001" customHeight="1" x14ac:dyDescent="0.25">
      <c r="A311" s="222"/>
      <c r="B311" s="599" t="s">
        <v>912</v>
      </c>
      <c r="C311" s="576">
        <f>+C312+C314</f>
        <v>1000000000</v>
      </c>
      <c r="D311" s="784">
        <f>+D312+D314</f>
        <v>997824000</v>
      </c>
      <c r="E311" s="363">
        <f t="shared" ref="E311:E315" si="43">D311/C311*100</f>
        <v>99.78240000000001</v>
      </c>
      <c r="F311" s="246">
        <f t="shared" ref="F311:F315" si="44">D311/C311*E311</f>
        <v>99.565273497600018</v>
      </c>
      <c r="G311" s="593"/>
    </row>
    <row r="312" spans="1:8" s="115" customFormat="1" ht="20.100000000000001" customHeight="1" x14ac:dyDescent="0.25">
      <c r="A312" s="222"/>
      <c r="B312" s="599" t="s">
        <v>914</v>
      </c>
      <c r="C312" s="576">
        <v>500000000</v>
      </c>
      <c r="D312" s="784">
        <f>D313</f>
        <v>498912000</v>
      </c>
      <c r="E312" s="363">
        <f t="shared" si="43"/>
        <v>99.78240000000001</v>
      </c>
      <c r="F312" s="246">
        <f t="shared" si="44"/>
        <v>99.565273497600018</v>
      </c>
      <c r="G312" s="593"/>
    </row>
    <row r="313" spans="1:8" ht="20.100000000000001" customHeight="1" x14ac:dyDescent="0.25">
      <c r="A313" s="222"/>
      <c r="B313" s="600" t="s">
        <v>915</v>
      </c>
      <c r="C313" s="198">
        <v>500000000</v>
      </c>
      <c r="D313" s="785">
        <v>498912000</v>
      </c>
      <c r="E313" s="364">
        <f t="shared" si="43"/>
        <v>99.78240000000001</v>
      </c>
      <c r="F313" s="247">
        <f t="shared" si="44"/>
        <v>99.565273497600018</v>
      </c>
      <c r="G313" s="592"/>
    </row>
    <row r="314" spans="1:8" s="115" customFormat="1" ht="20.100000000000001" customHeight="1" x14ac:dyDescent="0.25">
      <c r="A314" s="222"/>
      <c r="B314" s="599" t="s">
        <v>916</v>
      </c>
      <c r="C314" s="576">
        <v>500000000</v>
      </c>
      <c r="D314" s="784">
        <f>D315</f>
        <v>498912000</v>
      </c>
      <c r="E314" s="363">
        <f t="shared" si="43"/>
        <v>99.78240000000001</v>
      </c>
      <c r="F314" s="246">
        <f t="shared" si="44"/>
        <v>99.565273497600018</v>
      </c>
      <c r="G314" s="121"/>
    </row>
    <row r="315" spans="1:8" ht="20.100000000000001" customHeight="1" x14ac:dyDescent="0.25">
      <c r="A315" s="222"/>
      <c r="B315" s="600" t="s">
        <v>917</v>
      </c>
      <c r="C315" s="198">
        <v>500000000</v>
      </c>
      <c r="D315" s="785">
        <v>498912000</v>
      </c>
      <c r="E315" s="364">
        <f t="shared" si="43"/>
        <v>99.78240000000001</v>
      </c>
      <c r="F315" s="247">
        <f t="shared" si="44"/>
        <v>99.565273497600018</v>
      </c>
      <c r="G315" s="111"/>
    </row>
    <row r="316" spans="1:8" ht="9.9499999999999993" customHeight="1" x14ac:dyDescent="0.25">
      <c r="A316" s="222"/>
      <c r="B316" s="32"/>
      <c r="C316" s="592"/>
      <c r="D316" s="778"/>
      <c r="E316" s="117"/>
      <c r="F316" s="117"/>
      <c r="G316" s="111"/>
    </row>
    <row r="317" spans="1:8" ht="20.100000000000001" customHeight="1" x14ac:dyDescent="0.25">
      <c r="A317" s="222" t="s">
        <v>975</v>
      </c>
      <c r="B317" s="241" t="s">
        <v>976</v>
      </c>
      <c r="C317" s="595">
        <f>+C318+C363+C359</f>
        <v>31075191600</v>
      </c>
      <c r="D317" s="779">
        <f>+D318+D359+D363</f>
        <v>29324185084</v>
      </c>
      <c r="E317" s="114">
        <f>+D317/C317*100</f>
        <v>94.365259147750507</v>
      </c>
      <c r="F317" s="114">
        <f>(F318+F360+F363)/3</f>
        <v>90.67153157777777</v>
      </c>
      <c r="G317" s="593"/>
      <c r="H317" s="324"/>
    </row>
    <row r="318" spans="1:8" ht="20.100000000000001" customHeight="1" x14ac:dyDescent="0.25">
      <c r="A318" s="222"/>
      <c r="B318" s="48" t="s">
        <v>977</v>
      </c>
      <c r="C318" s="281">
        <f>+C319+C330+C341+C350+C354</f>
        <v>18791371600</v>
      </c>
      <c r="D318" s="113">
        <f>+D319+D330+D341+D350+D354</f>
        <v>18554724400</v>
      </c>
      <c r="E318" s="114">
        <f t="shared" ref="E318" si="45">+D318/C318*100</f>
        <v>98.740660314545636</v>
      </c>
      <c r="F318" s="114">
        <f>(F319+F330+F341+F350+F354)/5</f>
        <v>96.224999999999994</v>
      </c>
      <c r="G318" s="593"/>
    </row>
    <row r="319" spans="1:8" ht="20.100000000000001" customHeight="1" x14ac:dyDescent="0.25">
      <c r="A319" s="222"/>
      <c r="B319" s="599" t="s">
        <v>978</v>
      </c>
      <c r="C319" s="601">
        <f>C320+C321+C322+C323+C324+C325+C326+C327+C328+C329</f>
        <v>2721700000</v>
      </c>
      <c r="D319" s="787">
        <f>SUM(D320:D328)</f>
        <v>2715407000</v>
      </c>
      <c r="E319" s="342">
        <f>SUM(E320:E329)/10</f>
        <v>99.859514285714283</v>
      </c>
      <c r="F319" s="343">
        <v>100</v>
      </c>
      <c r="G319" s="593"/>
    </row>
    <row r="320" spans="1:8" ht="20.100000000000001" customHeight="1" x14ac:dyDescent="0.25">
      <c r="A320" s="222"/>
      <c r="B320" s="600" t="s">
        <v>979</v>
      </c>
      <c r="C320" s="602">
        <v>300000000</v>
      </c>
      <c r="D320" s="788">
        <v>299256000</v>
      </c>
      <c r="E320" s="343">
        <f>+D320/C320*100</f>
        <v>99.751999999999995</v>
      </c>
      <c r="F320" s="343">
        <v>100</v>
      </c>
      <c r="G320" s="592"/>
    </row>
    <row r="321" spans="1:7" ht="20.100000000000001" customHeight="1" x14ac:dyDescent="0.25">
      <c r="A321" s="222"/>
      <c r="B321" s="600" t="s">
        <v>980</v>
      </c>
      <c r="C321" s="543">
        <v>270000000</v>
      </c>
      <c r="D321" s="788">
        <v>270000000</v>
      </c>
      <c r="E321" s="343">
        <f t="shared" ref="E321:E357" si="46">+D321/C321*100</f>
        <v>100</v>
      </c>
      <c r="F321" s="343">
        <v>100</v>
      </c>
      <c r="G321" s="592"/>
    </row>
    <row r="322" spans="1:7" ht="20.100000000000001" customHeight="1" x14ac:dyDescent="0.25">
      <c r="A322" s="222"/>
      <c r="B322" s="600" t="s">
        <v>981</v>
      </c>
      <c r="C322" s="543">
        <v>350000000</v>
      </c>
      <c r="D322" s="788">
        <v>347701000</v>
      </c>
      <c r="E322" s="343">
        <f t="shared" si="46"/>
        <v>99.343142857142851</v>
      </c>
      <c r="F322" s="343">
        <v>100</v>
      </c>
      <c r="G322" s="592"/>
    </row>
    <row r="323" spans="1:7" ht="20.100000000000001" customHeight="1" x14ac:dyDescent="0.25">
      <c r="A323" s="222"/>
      <c r="B323" s="600" t="s">
        <v>982</v>
      </c>
      <c r="C323" s="543">
        <v>100000000</v>
      </c>
      <c r="D323" s="788">
        <v>99850000</v>
      </c>
      <c r="E323" s="343">
        <f t="shared" si="46"/>
        <v>99.850000000000009</v>
      </c>
      <c r="F323" s="343">
        <v>100</v>
      </c>
      <c r="G323" s="592"/>
    </row>
    <row r="324" spans="1:7" ht="20.100000000000001" customHeight="1" x14ac:dyDescent="0.25">
      <c r="A324" s="222"/>
      <c r="B324" s="600" t="s">
        <v>983</v>
      </c>
      <c r="C324" s="543">
        <v>400000000</v>
      </c>
      <c r="D324" s="788">
        <v>398600000</v>
      </c>
      <c r="E324" s="343">
        <f t="shared" si="46"/>
        <v>99.65</v>
      </c>
      <c r="F324" s="343">
        <v>100</v>
      </c>
      <c r="G324" s="592"/>
    </row>
    <row r="325" spans="1:7" ht="20.100000000000001" customHeight="1" x14ac:dyDescent="0.25">
      <c r="A325" s="222"/>
      <c r="B325" s="600" t="s">
        <v>984</v>
      </c>
      <c r="C325" s="543">
        <v>200000000</v>
      </c>
      <c r="D325" s="788">
        <v>200000000</v>
      </c>
      <c r="E325" s="343">
        <f t="shared" si="46"/>
        <v>100</v>
      </c>
      <c r="F325" s="343">
        <v>100</v>
      </c>
      <c r="G325" s="592"/>
    </row>
    <row r="326" spans="1:7" ht="20.100000000000001" customHeight="1" x14ac:dyDescent="0.25">
      <c r="A326" s="222"/>
      <c r="B326" s="600" t="s">
        <v>985</v>
      </c>
      <c r="C326" s="543">
        <v>900000000</v>
      </c>
      <c r="D326" s="788">
        <v>900000000</v>
      </c>
      <c r="E326" s="343">
        <f t="shared" si="46"/>
        <v>100</v>
      </c>
      <c r="F326" s="343">
        <v>100</v>
      </c>
      <c r="G326" s="592"/>
    </row>
    <row r="327" spans="1:7" ht="20.100000000000001" customHeight="1" x14ac:dyDescent="0.25">
      <c r="A327" s="222"/>
      <c r="B327" s="600" t="s">
        <v>986</v>
      </c>
      <c r="C327" s="543">
        <v>150000000</v>
      </c>
      <c r="D327" s="788">
        <v>150000000</v>
      </c>
      <c r="E327" s="343">
        <f t="shared" si="46"/>
        <v>100</v>
      </c>
      <c r="F327" s="343">
        <v>100</v>
      </c>
      <c r="G327" s="592"/>
    </row>
    <row r="328" spans="1:7" ht="20.100000000000001" customHeight="1" x14ac:dyDescent="0.25">
      <c r="A328" s="222"/>
      <c r="B328" s="600" t="s">
        <v>987</v>
      </c>
      <c r="C328" s="543">
        <v>50000000</v>
      </c>
      <c r="D328" s="788">
        <v>50000000</v>
      </c>
      <c r="E328" s="343">
        <f t="shared" si="46"/>
        <v>100</v>
      </c>
      <c r="F328" s="343">
        <v>100</v>
      </c>
      <c r="G328" s="592"/>
    </row>
    <row r="329" spans="1:7" ht="20.100000000000001" customHeight="1" x14ac:dyDescent="0.25">
      <c r="A329" s="222"/>
      <c r="B329" s="600" t="s">
        <v>988</v>
      </c>
      <c r="C329" s="543">
        <v>1700000</v>
      </c>
      <c r="D329" s="788">
        <v>1700000</v>
      </c>
      <c r="E329" s="343">
        <f t="shared" si="46"/>
        <v>100</v>
      </c>
      <c r="F329" s="343">
        <v>100</v>
      </c>
      <c r="G329" s="592"/>
    </row>
    <row r="330" spans="1:7" ht="20.100000000000001" customHeight="1" x14ac:dyDescent="0.25">
      <c r="A330" s="222"/>
      <c r="B330" s="599" t="s">
        <v>989</v>
      </c>
      <c r="C330" s="541">
        <f>C331+C332+C333+C334+C335+C336+C337+C338+C339+C340</f>
        <v>5706680000</v>
      </c>
      <c r="D330" s="789">
        <f>SUM(D331:D340)</f>
        <v>4930306000</v>
      </c>
      <c r="E330" s="342">
        <f t="shared" si="46"/>
        <v>86.395347207132687</v>
      </c>
      <c r="F330" s="342">
        <f>SUM(F331:F340)/10</f>
        <v>84</v>
      </c>
      <c r="G330" s="593"/>
    </row>
    <row r="331" spans="1:7" ht="20.100000000000001" customHeight="1" x14ac:dyDescent="0.25">
      <c r="A331" s="222"/>
      <c r="B331" s="600" t="s">
        <v>979</v>
      </c>
      <c r="C331" s="543">
        <v>1500000000</v>
      </c>
      <c r="D331" s="788">
        <v>1422222000</v>
      </c>
      <c r="E331" s="343">
        <f t="shared" si="46"/>
        <v>94.814800000000005</v>
      </c>
      <c r="F331" s="343">
        <v>10</v>
      </c>
      <c r="G331" s="592"/>
    </row>
    <row r="332" spans="1:7" ht="20.100000000000001" customHeight="1" x14ac:dyDescent="0.25">
      <c r="A332" s="222"/>
      <c r="B332" s="600" t="s">
        <v>990</v>
      </c>
      <c r="C332" s="543">
        <v>300000000</v>
      </c>
      <c r="D332" s="788">
        <v>299849000</v>
      </c>
      <c r="E332" s="343">
        <f t="shared" si="46"/>
        <v>99.949666666666673</v>
      </c>
      <c r="F332" s="343">
        <v>100</v>
      </c>
      <c r="G332" s="592"/>
    </row>
    <row r="333" spans="1:7" ht="20.100000000000001" customHeight="1" x14ac:dyDescent="0.25">
      <c r="A333" s="222"/>
      <c r="B333" s="600" t="s">
        <v>991</v>
      </c>
      <c r="C333" s="543">
        <v>500000000</v>
      </c>
      <c r="D333" s="788">
        <v>386579000</v>
      </c>
      <c r="E333" s="343">
        <f t="shared" si="46"/>
        <v>77.315799999999996</v>
      </c>
      <c r="F333" s="343">
        <v>70</v>
      </c>
      <c r="G333" s="592"/>
    </row>
    <row r="334" spans="1:7" ht="20.100000000000001" customHeight="1" x14ac:dyDescent="0.25">
      <c r="A334" s="222"/>
      <c r="B334" s="600" t="s">
        <v>992</v>
      </c>
      <c r="C334" s="543">
        <v>330000000</v>
      </c>
      <c r="D334" s="788">
        <v>330000000</v>
      </c>
      <c r="E334" s="343">
        <f t="shared" si="46"/>
        <v>100</v>
      </c>
      <c r="F334" s="343">
        <v>100</v>
      </c>
      <c r="G334" s="592"/>
    </row>
    <row r="335" spans="1:7" ht="20.100000000000001" customHeight="1" x14ac:dyDescent="0.25">
      <c r="A335" s="222"/>
      <c r="B335" s="600" t="s">
        <v>993</v>
      </c>
      <c r="C335" s="543">
        <v>150000000</v>
      </c>
      <c r="D335" s="788">
        <v>150000000</v>
      </c>
      <c r="E335" s="343">
        <f t="shared" si="46"/>
        <v>100</v>
      </c>
      <c r="F335" s="343">
        <v>100</v>
      </c>
      <c r="G335" s="592"/>
    </row>
    <row r="336" spans="1:7" ht="20.100000000000001" customHeight="1" x14ac:dyDescent="0.25">
      <c r="A336" s="222"/>
      <c r="B336" s="600" t="s">
        <v>994</v>
      </c>
      <c r="C336" s="592">
        <v>580000000</v>
      </c>
      <c r="D336" s="108">
        <v>288996000</v>
      </c>
      <c r="E336" s="343">
        <f t="shared" si="46"/>
        <v>49.82689655172414</v>
      </c>
      <c r="F336" s="343">
        <v>65</v>
      </c>
      <c r="G336" s="592"/>
    </row>
    <row r="337" spans="1:7" ht="20.100000000000001" customHeight="1" x14ac:dyDescent="0.25">
      <c r="A337" s="222"/>
      <c r="B337" s="600" t="s">
        <v>995</v>
      </c>
      <c r="C337" s="543">
        <v>16680000</v>
      </c>
      <c r="D337" s="788">
        <v>16680000</v>
      </c>
      <c r="E337" s="343">
        <f t="shared" si="46"/>
        <v>100</v>
      </c>
      <c r="F337" s="343">
        <v>100</v>
      </c>
      <c r="G337" s="592"/>
    </row>
    <row r="338" spans="1:7" ht="20.100000000000001" customHeight="1" x14ac:dyDescent="0.25">
      <c r="A338" s="222"/>
      <c r="B338" s="600" t="s">
        <v>996</v>
      </c>
      <c r="C338" s="543">
        <v>1730000000</v>
      </c>
      <c r="D338" s="788">
        <v>1437480000</v>
      </c>
      <c r="E338" s="343">
        <f t="shared" si="46"/>
        <v>83.091329479768788</v>
      </c>
      <c r="F338" s="343">
        <v>95</v>
      </c>
      <c r="G338" s="592"/>
    </row>
    <row r="339" spans="1:7" ht="20.100000000000001" customHeight="1" x14ac:dyDescent="0.25">
      <c r="A339" s="222"/>
      <c r="B339" s="600" t="s">
        <v>997</v>
      </c>
      <c r="C339" s="543">
        <v>100000000</v>
      </c>
      <c r="D339" s="788">
        <v>98500000</v>
      </c>
      <c r="E339" s="343">
        <f t="shared" si="46"/>
        <v>98.5</v>
      </c>
      <c r="F339" s="343">
        <v>100</v>
      </c>
      <c r="G339" s="592"/>
    </row>
    <row r="340" spans="1:7" ht="20.100000000000001" customHeight="1" x14ac:dyDescent="0.25">
      <c r="A340" s="222"/>
      <c r="B340" s="600" t="s">
        <v>998</v>
      </c>
      <c r="C340" s="543">
        <v>500000000</v>
      </c>
      <c r="D340" s="788">
        <v>500000000</v>
      </c>
      <c r="E340" s="343">
        <f t="shared" si="46"/>
        <v>100</v>
      </c>
      <c r="F340" s="343">
        <v>100</v>
      </c>
      <c r="G340" s="592"/>
    </row>
    <row r="341" spans="1:7" ht="20.100000000000001" customHeight="1" x14ac:dyDescent="0.25">
      <c r="A341" s="222"/>
      <c r="B341" s="599" t="s">
        <v>999</v>
      </c>
      <c r="C341" s="541">
        <f>C342+C343+C344+C345+C346+C347+C348+C349</f>
        <v>430400000</v>
      </c>
      <c r="D341" s="787">
        <v>400620000</v>
      </c>
      <c r="E341" s="342">
        <f t="shared" si="46"/>
        <v>93.080855018587357</v>
      </c>
      <c r="F341" s="342">
        <f>SUM(F342:F349)/8</f>
        <v>98.625</v>
      </c>
      <c r="G341" s="593"/>
    </row>
    <row r="342" spans="1:7" ht="20.100000000000001" customHeight="1" x14ac:dyDescent="0.25">
      <c r="A342" s="222"/>
      <c r="B342" s="600" t="s">
        <v>1000</v>
      </c>
      <c r="C342" s="603">
        <v>32000000</v>
      </c>
      <c r="D342" s="788">
        <v>29900000</v>
      </c>
      <c r="E342" s="343">
        <f t="shared" si="46"/>
        <v>93.4375</v>
      </c>
      <c r="F342" s="343">
        <v>98</v>
      </c>
      <c r="G342" s="592"/>
    </row>
    <row r="343" spans="1:7" ht="20.100000000000001" customHeight="1" x14ac:dyDescent="0.25">
      <c r="A343" s="222"/>
      <c r="B343" s="600" t="s">
        <v>1001</v>
      </c>
      <c r="C343" s="603">
        <v>24000000</v>
      </c>
      <c r="D343" s="788">
        <v>22500000</v>
      </c>
      <c r="E343" s="343">
        <f t="shared" si="46"/>
        <v>93.75</v>
      </c>
      <c r="F343" s="343">
        <v>98</v>
      </c>
      <c r="G343" s="592"/>
    </row>
    <row r="344" spans="1:7" ht="20.100000000000001" customHeight="1" x14ac:dyDescent="0.25">
      <c r="A344" s="390"/>
      <c r="B344" s="600" t="s">
        <v>1002</v>
      </c>
      <c r="C344" s="543">
        <v>24400000</v>
      </c>
      <c r="D344" s="788">
        <v>24400000</v>
      </c>
      <c r="E344" s="343">
        <f t="shared" si="46"/>
        <v>100</v>
      </c>
      <c r="F344" s="343">
        <v>100</v>
      </c>
      <c r="G344" s="592"/>
    </row>
    <row r="345" spans="1:7" ht="20.100000000000001" customHeight="1" x14ac:dyDescent="0.25">
      <c r="A345" s="222"/>
      <c r="B345" s="600" t="s">
        <v>1003</v>
      </c>
      <c r="C345" s="543">
        <v>150000000</v>
      </c>
      <c r="D345" s="788">
        <v>136500000</v>
      </c>
      <c r="E345" s="343">
        <f t="shared" si="46"/>
        <v>91</v>
      </c>
      <c r="F345" s="343">
        <v>97</v>
      </c>
      <c r="G345" s="592"/>
    </row>
    <row r="346" spans="1:7" ht="20.100000000000001" customHeight="1" x14ac:dyDescent="0.25">
      <c r="A346" s="222"/>
      <c r="B346" s="600" t="s">
        <v>1004</v>
      </c>
      <c r="C346" s="543">
        <v>30000000</v>
      </c>
      <c r="D346" s="788">
        <v>18820000</v>
      </c>
      <c r="E346" s="343">
        <f t="shared" si="46"/>
        <v>62.733333333333327</v>
      </c>
      <c r="F346" s="343">
        <v>97</v>
      </c>
      <c r="G346" s="592"/>
    </row>
    <row r="347" spans="1:7" ht="20.100000000000001" customHeight="1" x14ac:dyDescent="0.25">
      <c r="A347" s="222"/>
      <c r="B347" s="600" t="s">
        <v>1005</v>
      </c>
      <c r="C347" s="543">
        <v>70000000</v>
      </c>
      <c r="D347" s="788">
        <v>68500000</v>
      </c>
      <c r="E347" s="343">
        <f t="shared" si="46"/>
        <v>97.857142857142847</v>
      </c>
      <c r="F347" s="343">
        <v>99</v>
      </c>
      <c r="G347" s="592"/>
    </row>
    <row r="348" spans="1:7" ht="20.100000000000001" customHeight="1" x14ac:dyDescent="0.25">
      <c r="A348" s="222"/>
      <c r="B348" s="600" t="s">
        <v>1006</v>
      </c>
      <c r="C348" s="543">
        <v>70000000</v>
      </c>
      <c r="D348" s="788">
        <v>70000000</v>
      </c>
      <c r="E348" s="343">
        <f t="shared" si="46"/>
        <v>100</v>
      </c>
      <c r="F348" s="343">
        <v>100</v>
      </c>
      <c r="G348" s="592"/>
    </row>
    <row r="349" spans="1:7" ht="20.100000000000001" customHeight="1" x14ac:dyDescent="0.25">
      <c r="A349" s="222"/>
      <c r="B349" s="600" t="s">
        <v>1007</v>
      </c>
      <c r="C349" s="543">
        <v>30000000</v>
      </c>
      <c r="D349" s="788">
        <v>30000000</v>
      </c>
      <c r="E349" s="343">
        <f t="shared" si="46"/>
        <v>100</v>
      </c>
      <c r="F349" s="343">
        <v>100</v>
      </c>
      <c r="G349" s="592"/>
    </row>
    <row r="350" spans="1:7" ht="20.100000000000001" customHeight="1" x14ac:dyDescent="0.25">
      <c r="A350" s="222"/>
      <c r="B350" s="599" t="s">
        <v>1008</v>
      </c>
      <c r="C350" s="541">
        <f>C351+C352+C353</f>
        <v>1407791600</v>
      </c>
      <c r="D350" s="789">
        <v>1407791600</v>
      </c>
      <c r="E350" s="342">
        <f t="shared" si="46"/>
        <v>100</v>
      </c>
      <c r="F350" s="342">
        <f>SUM(F351:F353)/3</f>
        <v>100</v>
      </c>
      <c r="G350" s="593"/>
    </row>
    <row r="351" spans="1:7" ht="20.100000000000001" customHeight="1" x14ac:dyDescent="0.25">
      <c r="A351" s="222"/>
      <c r="B351" s="600" t="s">
        <v>1009</v>
      </c>
      <c r="C351" s="543">
        <v>1278291600</v>
      </c>
      <c r="D351" s="790">
        <v>1278291600</v>
      </c>
      <c r="E351" s="343">
        <f t="shared" si="46"/>
        <v>100</v>
      </c>
      <c r="F351" s="343">
        <v>100</v>
      </c>
      <c r="G351" s="592"/>
    </row>
    <row r="352" spans="1:7" ht="20.100000000000001" customHeight="1" x14ac:dyDescent="0.25">
      <c r="A352" s="222"/>
      <c r="B352" s="600" t="s">
        <v>1010</v>
      </c>
      <c r="C352" s="543">
        <v>120000000</v>
      </c>
      <c r="D352" s="790">
        <v>120000000</v>
      </c>
      <c r="E352" s="343">
        <f t="shared" si="46"/>
        <v>100</v>
      </c>
      <c r="F352" s="343">
        <v>100</v>
      </c>
      <c r="G352" s="592"/>
    </row>
    <row r="353" spans="1:7" ht="20.100000000000001" customHeight="1" x14ac:dyDescent="0.25">
      <c r="A353" s="222"/>
      <c r="B353" s="600" t="s">
        <v>1011</v>
      </c>
      <c r="C353" s="543">
        <v>9500000</v>
      </c>
      <c r="D353" s="791">
        <v>9500000</v>
      </c>
      <c r="E353" s="343">
        <f t="shared" si="46"/>
        <v>100</v>
      </c>
      <c r="F353" s="343">
        <v>100</v>
      </c>
      <c r="G353" s="592"/>
    </row>
    <row r="354" spans="1:7" ht="20.100000000000001" customHeight="1" x14ac:dyDescent="0.25">
      <c r="A354" s="222"/>
      <c r="B354" s="599" t="s">
        <v>1012</v>
      </c>
      <c r="C354" s="541">
        <f>+C356+C357</f>
        <v>8524800000</v>
      </c>
      <c r="D354" s="789">
        <v>9100599800</v>
      </c>
      <c r="E354" s="343">
        <f t="shared" si="46"/>
        <v>106.75440831456457</v>
      </c>
      <c r="F354" s="342">
        <f>SUM(F355:F357)/2</f>
        <v>98.5</v>
      </c>
      <c r="G354" s="593"/>
    </row>
    <row r="355" spans="1:7" ht="20.100000000000001" customHeight="1" x14ac:dyDescent="0.25">
      <c r="A355" s="222"/>
      <c r="B355" s="32" t="s">
        <v>1013</v>
      </c>
      <c r="C355" s="604">
        <v>0</v>
      </c>
      <c r="D355" s="791">
        <v>0</v>
      </c>
      <c r="E355" s="343"/>
      <c r="F355" s="247"/>
      <c r="G355" s="592"/>
    </row>
    <row r="356" spans="1:7" ht="20.100000000000001" customHeight="1" x14ac:dyDescent="0.25">
      <c r="A356" s="222"/>
      <c r="B356" s="600" t="s">
        <v>1014</v>
      </c>
      <c r="C356" s="543">
        <v>1850400000</v>
      </c>
      <c r="D356" s="791">
        <v>1849200000</v>
      </c>
      <c r="E356" s="343">
        <f t="shared" si="46"/>
        <v>99.935149156939048</v>
      </c>
      <c r="F356" s="343">
        <v>98</v>
      </c>
      <c r="G356" s="592"/>
    </row>
    <row r="357" spans="1:7" ht="20.100000000000001" customHeight="1" x14ac:dyDescent="0.25">
      <c r="A357" s="222"/>
      <c r="B357" s="600" t="s">
        <v>1015</v>
      </c>
      <c r="C357" s="543">
        <v>6674400000</v>
      </c>
      <c r="D357" s="791">
        <v>6673400000</v>
      </c>
      <c r="E357" s="343">
        <f t="shared" si="46"/>
        <v>99.985017379839391</v>
      </c>
      <c r="F357" s="343">
        <v>99</v>
      </c>
      <c r="G357" s="592"/>
    </row>
    <row r="358" spans="1:7" ht="9.9499999999999993" customHeight="1" x14ac:dyDescent="0.25">
      <c r="A358" s="222"/>
      <c r="B358" s="600"/>
      <c r="C358" s="543"/>
      <c r="D358" s="791"/>
      <c r="E358" s="343"/>
      <c r="F358" s="343"/>
      <c r="G358" s="111"/>
    </row>
    <row r="359" spans="1:7" s="115" customFormat="1" ht="20.100000000000001" customHeight="1" x14ac:dyDescent="0.25">
      <c r="A359" s="222"/>
      <c r="B359" s="311" t="s">
        <v>1017</v>
      </c>
      <c r="C359" s="541">
        <f>+C360</f>
        <v>6000000000</v>
      </c>
      <c r="D359" s="792">
        <f>+D360</f>
        <v>4547375684</v>
      </c>
      <c r="E359" s="342">
        <f>+E360</f>
        <v>75.789594733333331</v>
      </c>
      <c r="F359" s="342">
        <f>+F360</f>
        <v>75.789594733333331</v>
      </c>
      <c r="G359" s="593"/>
    </row>
    <row r="360" spans="1:7" ht="20.100000000000001" customHeight="1" x14ac:dyDescent="0.25">
      <c r="A360" s="159"/>
      <c r="B360" s="599" t="s">
        <v>1012</v>
      </c>
      <c r="C360" s="541">
        <f>+C361</f>
        <v>6000000000</v>
      </c>
      <c r="D360" s="242">
        <f>+D361</f>
        <v>4547375684</v>
      </c>
      <c r="E360" s="114">
        <f t="shared" ref="E360:E361" si="47">+D360/C360*100</f>
        <v>75.789594733333331</v>
      </c>
      <c r="F360" s="114">
        <f>SUM(F361)/1</f>
        <v>75.789594733333331</v>
      </c>
      <c r="G360" s="593"/>
    </row>
    <row r="361" spans="1:7" ht="20.100000000000001" customHeight="1" x14ac:dyDescent="0.25">
      <c r="A361" s="159"/>
      <c r="B361" s="600" t="s">
        <v>1018</v>
      </c>
      <c r="C361" s="543">
        <v>6000000000</v>
      </c>
      <c r="D361" s="243">
        <v>4547375684</v>
      </c>
      <c r="E361" s="117">
        <f t="shared" si="47"/>
        <v>75.789594733333331</v>
      </c>
      <c r="F361" s="117">
        <f>+E361</f>
        <v>75.789594733333331</v>
      </c>
      <c r="G361" s="592"/>
    </row>
    <row r="362" spans="1:7" ht="9.9499999999999993" customHeight="1" x14ac:dyDescent="0.25">
      <c r="A362" s="159"/>
      <c r="B362" s="111"/>
      <c r="C362" s="582"/>
      <c r="D362" s="778"/>
      <c r="E362" s="117"/>
      <c r="F362" s="117"/>
      <c r="G362" s="111"/>
    </row>
    <row r="363" spans="1:7" ht="20.100000000000001" customHeight="1" x14ac:dyDescent="0.25">
      <c r="A363" s="222"/>
      <c r="B363" s="48" t="s">
        <v>1138</v>
      </c>
      <c r="C363" s="593">
        <f>+C364+C365+C366+C367</f>
        <v>6283820000</v>
      </c>
      <c r="D363" s="779">
        <f>+D364+D365+D366+D367</f>
        <v>6222085000</v>
      </c>
      <c r="E363" s="114">
        <f>+E364</f>
        <v>100</v>
      </c>
      <c r="F363" s="114">
        <f>(F364+F365+F366+F367)/4</f>
        <v>100</v>
      </c>
      <c r="G363" s="593"/>
    </row>
    <row r="364" spans="1:7" ht="20.100000000000001" customHeight="1" x14ac:dyDescent="0.25">
      <c r="A364" s="222"/>
      <c r="B364" s="32" t="s">
        <v>1140</v>
      </c>
      <c r="C364" s="603">
        <v>1113675000</v>
      </c>
      <c r="D364" s="793">
        <v>1113675000</v>
      </c>
      <c r="E364" s="343">
        <f t="shared" ref="E364:E367" si="48">+D364/C364*100</f>
        <v>100</v>
      </c>
      <c r="F364" s="343">
        <v>100</v>
      </c>
      <c r="G364" s="592"/>
    </row>
    <row r="365" spans="1:7" ht="20.100000000000001" customHeight="1" x14ac:dyDescent="0.25">
      <c r="A365" s="159"/>
      <c r="B365" s="32" t="s">
        <v>1141</v>
      </c>
      <c r="C365" s="603">
        <v>451200000</v>
      </c>
      <c r="D365" s="793">
        <v>451200000</v>
      </c>
      <c r="E365" s="343">
        <f t="shared" si="48"/>
        <v>100</v>
      </c>
      <c r="F365" s="343">
        <v>100</v>
      </c>
      <c r="G365" s="111"/>
    </row>
    <row r="366" spans="1:7" ht="20.100000000000001" customHeight="1" x14ac:dyDescent="0.25">
      <c r="A366" s="159"/>
      <c r="B366" s="32" t="s">
        <v>1142</v>
      </c>
      <c r="C366" s="603">
        <v>334800000</v>
      </c>
      <c r="D366" s="793">
        <v>334800000</v>
      </c>
      <c r="E366" s="343">
        <f t="shared" si="48"/>
        <v>100</v>
      </c>
      <c r="F366" s="343">
        <v>100</v>
      </c>
      <c r="G366" s="111"/>
    </row>
    <row r="367" spans="1:7" ht="20.100000000000001" customHeight="1" x14ac:dyDescent="0.25">
      <c r="A367" s="159"/>
      <c r="B367" s="32" t="s">
        <v>1143</v>
      </c>
      <c r="C367" s="603">
        <v>4384145000</v>
      </c>
      <c r="D367" s="793">
        <v>4322410000</v>
      </c>
      <c r="E367" s="343">
        <f t="shared" si="48"/>
        <v>98.591857705436297</v>
      </c>
      <c r="F367" s="343">
        <v>100</v>
      </c>
      <c r="G367" s="111"/>
    </row>
    <row r="368" spans="1:7" ht="9.9499999999999993" customHeight="1" x14ac:dyDescent="0.25">
      <c r="A368" s="159"/>
      <c r="B368" s="111"/>
      <c r="C368" s="582"/>
      <c r="D368" s="778"/>
      <c r="E368" s="117"/>
      <c r="F368" s="117"/>
      <c r="G368" s="111"/>
    </row>
    <row r="369" spans="1:7" ht="20.100000000000001" customHeight="1" x14ac:dyDescent="0.25">
      <c r="A369" s="222" t="s">
        <v>1155</v>
      </c>
      <c r="B369" s="605" t="s">
        <v>1156</v>
      </c>
      <c r="C369" s="606">
        <f>+C370+C432</f>
        <v>34296789100</v>
      </c>
      <c r="D369" s="779">
        <f>+D370+D432</f>
        <v>26341635900</v>
      </c>
      <c r="E369" s="114">
        <f>+D369/C369*100</f>
        <v>76.804962188136727</v>
      </c>
      <c r="F369" s="114">
        <f>(F370+F432)/2</f>
        <v>49.031182795698925</v>
      </c>
      <c r="G369" s="111"/>
    </row>
    <row r="370" spans="1:7" ht="20.100000000000001" customHeight="1" x14ac:dyDescent="0.25">
      <c r="A370" s="222"/>
      <c r="B370" s="249" t="s">
        <v>82</v>
      </c>
      <c r="C370" s="195">
        <f>C371+C380+C412+C421+C427</f>
        <v>26296789100</v>
      </c>
      <c r="D370" s="113">
        <f>D371+D380+D412+D421+D427</f>
        <v>25541635900</v>
      </c>
      <c r="E370" s="405">
        <f>D370/C370*100</f>
        <v>97.128344463925444</v>
      </c>
      <c r="F370" s="405">
        <f>(F371+F380+F412+F421+F427)/5</f>
        <v>88.06236559139785</v>
      </c>
      <c r="G370" s="111"/>
    </row>
    <row r="371" spans="1:7" ht="20.100000000000001" customHeight="1" x14ac:dyDescent="0.25">
      <c r="A371" s="222"/>
      <c r="B371" s="249" t="s">
        <v>797</v>
      </c>
      <c r="C371" s="116">
        <v>4105400000</v>
      </c>
      <c r="D371" s="220">
        <v>4096783000</v>
      </c>
      <c r="E371" s="405">
        <v>99.790105714424897</v>
      </c>
      <c r="F371" s="405">
        <f>(SUM(F372:F379))/8</f>
        <v>100</v>
      </c>
      <c r="G371" s="111"/>
    </row>
    <row r="372" spans="1:7" ht="20.100000000000001" customHeight="1" x14ac:dyDescent="0.25">
      <c r="A372" s="222"/>
      <c r="B372" s="118" t="s">
        <v>1158</v>
      </c>
      <c r="C372" s="116">
        <v>870000000</v>
      </c>
      <c r="D372" s="221">
        <v>869908000</v>
      </c>
      <c r="E372" s="406">
        <v>99.989425287356326</v>
      </c>
      <c r="F372" s="407">
        <v>100</v>
      </c>
      <c r="G372" s="111"/>
    </row>
    <row r="373" spans="1:7" ht="20.100000000000001" customHeight="1" x14ac:dyDescent="0.25">
      <c r="A373" s="222"/>
      <c r="B373" s="118" t="s">
        <v>1159</v>
      </c>
      <c r="C373" s="116">
        <v>120000000</v>
      </c>
      <c r="D373" s="221">
        <v>116600000</v>
      </c>
      <c r="E373" s="406">
        <v>97.166666666666671</v>
      </c>
      <c r="F373" s="407">
        <v>100</v>
      </c>
      <c r="G373" s="111"/>
    </row>
    <row r="374" spans="1:7" ht="20.100000000000001" customHeight="1" x14ac:dyDescent="0.25">
      <c r="A374" s="222"/>
      <c r="B374" s="118" t="s">
        <v>1160</v>
      </c>
      <c r="C374" s="116">
        <v>480000000</v>
      </c>
      <c r="D374" s="221">
        <v>480000000</v>
      </c>
      <c r="E374" s="406">
        <v>100</v>
      </c>
      <c r="F374" s="407">
        <v>100</v>
      </c>
      <c r="G374" s="111"/>
    </row>
    <row r="375" spans="1:7" ht="20.100000000000001" customHeight="1" x14ac:dyDescent="0.25">
      <c r="A375" s="222"/>
      <c r="B375" s="118" t="s">
        <v>1161</v>
      </c>
      <c r="C375" s="116">
        <v>150000000</v>
      </c>
      <c r="D375" s="221">
        <v>150000000</v>
      </c>
      <c r="E375" s="406">
        <v>100</v>
      </c>
      <c r="F375" s="407">
        <v>100</v>
      </c>
      <c r="G375" s="111"/>
    </row>
    <row r="376" spans="1:7" ht="20.100000000000001" customHeight="1" x14ac:dyDescent="0.25">
      <c r="A376" s="222"/>
      <c r="B376" s="118" t="s">
        <v>1162</v>
      </c>
      <c r="C376" s="116">
        <v>695000000</v>
      </c>
      <c r="D376" s="221">
        <v>694475000</v>
      </c>
      <c r="E376" s="406">
        <v>99.924460431654666</v>
      </c>
      <c r="F376" s="407">
        <v>100</v>
      </c>
      <c r="G376" s="111"/>
    </row>
    <row r="377" spans="1:7" ht="30" customHeight="1" x14ac:dyDescent="0.25">
      <c r="A377" s="222"/>
      <c r="B377" s="118" t="s">
        <v>1163</v>
      </c>
      <c r="C377" s="116">
        <v>238400000</v>
      </c>
      <c r="D377" s="221">
        <v>238300000</v>
      </c>
      <c r="E377" s="406">
        <v>99.958053691275168</v>
      </c>
      <c r="F377" s="407">
        <v>100</v>
      </c>
      <c r="G377" s="111"/>
    </row>
    <row r="378" spans="1:7" ht="30" customHeight="1" x14ac:dyDescent="0.25">
      <c r="A378" s="222"/>
      <c r="B378" s="118" t="s">
        <v>1164</v>
      </c>
      <c r="C378" s="116">
        <v>280000000</v>
      </c>
      <c r="D378" s="221">
        <v>279500000</v>
      </c>
      <c r="E378" s="406">
        <v>99.821428571428569</v>
      </c>
      <c r="F378" s="407">
        <v>100</v>
      </c>
      <c r="G378" s="111"/>
    </row>
    <row r="379" spans="1:7" ht="20.100000000000001" customHeight="1" x14ac:dyDescent="0.25">
      <c r="A379" s="222"/>
      <c r="B379" s="118" t="s">
        <v>1165</v>
      </c>
      <c r="C379" s="116">
        <v>1272000000</v>
      </c>
      <c r="D379" s="221">
        <v>1268000000</v>
      </c>
      <c r="E379" s="406">
        <v>99.685534591194966</v>
      </c>
      <c r="F379" s="407">
        <v>100</v>
      </c>
      <c r="G379" s="111"/>
    </row>
    <row r="380" spans="1:7" s="115" customFormat="1" ht="20.100000000000001" customHeight="1" x14ac:dyDescent="0.25">
      <c r="A380" s="222"/>
      <c r="B380" s="249" t="s">
        <v>680</v>
      </c>
      <c r="C380" s="195">
        <v>16987389100</v>
      </c>
      <c r="D380" s="220">
        <v>16528544000</v>
      </c>
      <c r="E380" s="405">
        <f>D380/C380*100</f>
        <v>97.298907458356851</v>
      </c>
      <c r="F380" s="405">
        <f>(SUM(F381:F411))/31</f>
        <v>95.645161290322577</v>
      </c>
      <c r="G380" s="121"/>
    </row>
    <row r="381" spans="1:7" ht="20.100000000000001" customHeight="1" x14ac:dyDescent="0.25">
      <c r="A381" s="222"/>
      <c r="B381" s="118" t="s">
        <v>1166</v>
      </c>
      <c r="C381" s="116">
        <v>1000000000</v>
      </c>
      <c r="D381" s="221">
        <v>999200000</v>
      </c>
      <c r="E381" s="406">
        <f>D381/C381*100</f>
        <v>99.92</v>
      </c>
      <c r="F381" s="407">
        <v>100</v>
      </c>
      <c r="G381" s="111"/>
    </row>
    <row r="382" spans="1:7" ht="20.100000000000001" customHeight="1" x14ac:dyDescent="0.25">
      <c r="A382" s="222"/>
      <c r="B382" s="118" t="s">
        <v>1167</v>
      </c>
      <c r="C382" s="116">
        <v>2250000000</v>
      </c>
      <c r="D382" s="221">
        <v>2250000000</v>
      </c>
      <c r="E382" s="406">
        <f t="shared" ref="E382:E420" si="49">D382/C382*100</f>
        <v>100</v>
      </c>
      <c r="F382" s="407">
        <v>100</v>
      </c>
      <c r="G382" s="111"/>
    </row>
    <row r="383" spans="1:7" ht="20.100000000000001" customHeight="1" x14ac:dyDescent="0.25">
      <c r="A383" s="222"/>
      <c r="B383" s="118" t="s">
        <v>1168</v>
      </c>
      <c r="C383" s="116">
        <v>100000000</v>
      </c>
      <c r="D383" s="221">
        <v>87300000</v>
      </c>
      <c r="E383" s="406">
        <f t="shared" si="49"/>
        <v>87.3</v>
      </c>
      <c r="F383" s="407">
        <v>90</v>
      </c>
      <c r="G383" s="111"/>
    </row>
    <row r="384" spans="1:7" ht="30" customHeight="1" x14ac:dyDescent="0.25">
      <c r="A384" s="222"/>
      <c r="B384" s="118" t="s">
        <v>1169</v>
      </c>
      <c r="C384" s="116">
        <v>100000000</v>
      </c>
      <c r="D384" s="221">
        <v>99800000</v>
      </c>
      <c r="E384" s="406">
        <f t="shared" si="49"/>
        <v>99.8</v>
      </c>
      <c r="F384" s="407">
        <v>100</v>
      </c>
      <c r="G384" s="111"/>
    </row>
    <row r="385" spans="1:7" ht="30" customHeight="1" x14ac:dyDescent="0.25">
      <c r="A385" s="222"/>
      <c r="B385" s="118" t="s">
        <v>1170</v>
      </c>
      <c r="C385" s="116">
        <v>481500000</v>
      </c>
      <c r="D385" s="221">
        <v>481500000</v>
      </c>
      <c r="E385" s="406">
        <f t="shared" si="49"/>
        <v>100</v>
      </c>
      <c r="F385" s="407">
        <v>100</v>
      </c>
      <c r="G385" s="111"/>
    </row>
    <row r="386" spans="1:7" ht="30" customHeight="1" x14ac:dyDescent="0.25">
      <c r="A386" s="222"/>
      <c r="B386" s="118" t="s">
        <v>1171</v>
      </c>
      <c r="C386" s="116">
        <v>450000000</v>
      </c>
      <c r="D386" s="221">
        <v>449750000</v>
      </c>
      <c r="E386" s="406">
        <f t="shared" si="49"/>
        <v>99.944444444444443</v>
      </c>
      <c r="F386" s="407">
        <v>100</v>
      </c>
      <c r="G386" s="111"/>
    </row>
    <row r="387" spans="1:7" ht="20.100000000000001" customHeight="1" x14ac:dyDescent="0.25">
      <c r="A387" s="222"/>
      <c r="B387" s="118" t="s">
        <v>1172</v>
      </c>
      <c r="C387" s="116">
        <v>2619200000</v>
      </c>
      <c r="D387" s="221">
        <v>2571600000</v>
      </c>
      <c r="E387" s="406">
        <f t="shared" si="49"/>
        <v>98.182651191203419</v>
      </c>
      <c r="F387" s="407">
        <v>100</v>
      </c>
      <c r="G387" s="111"/>
    </row>
    <row r="388" spans="1:7" ht="20.100000000000001" customHeight="1" x14ac:dyDescent="0.25">
      <c r="A388" s="222"/>
      <c r="B388" s="118" t="s">
        <v>1173</v>
      </c>
      <c r="C388" s="116">
        <v>2057300000</v>
      </c>
      <c r="D388" s="221">
        <v>2054300000</v>
      </c>
      <c r="E388" s="406">
        <f t="shared" si="49"/>
        <v>99.854177805862051</v>
      </c>
      <c r="F388" s="407">
        <v>100</v>
      </c>
      <c r="G388" s="111"/>
    </row>
    <row r="389" spans="1:7" ht="20.100000000000001" customHeight="1" x14ac:dyDescent="0.25">
      <c r="A389" s="222"/>
      <c r="B389" s="118" t="s">
        <v>1174</v>
      </c>
      <c r="C389" s="116">
        <v>350000000</v>
      </c>
      <c r="D389" s="221">
        <v>349986000</v>
      </c>
      <c r="E389" s="406">
        <f t="shared" si="49"/>
        <v>99.995999999999995</v>
      </c>
      <c r="F389" s="407">
        <v>100</v>
      </c>
      <c r="G389" s="111"/>
    </row>
    <row r="390" spans="1:7" ht="20.100000000000001" customHeight="1" x14ac:dyDescent="0.25">
      <c r="A390" s="222"/>
      <c r="B390" s="118" t="s">
        <v>1175</v>
      </c>
      <c r="C390" s="116">
        <v>100000000</v>
      </c>
      <c r="D390" s="221">
        <v>74080000</v>
      </c>
      <c r="E390" s="406">
        <f t="shared" si="49"/>
        <v>74.08</v>
      </c>
      <c r="F390" s="407">
        <v>100</v>
      </c>
      <c r="G390" s="111"/>
    </row>
    <row r="391" spans="1:7" ht="20.100000000000001" customHeight="1" x14ac:dyDescent="0.25">
      <c r="A391" s="222"/>
      <c r="B391" s="118" t="s">
        <v>1176</v>
      </c>
      <c r="C391" s="116">
        <v>150000000</v>
      </c>
      <c r="D391" s="221">
        <v>74300000</v>
      </c>
      <c r="E391" s="406">
        <f t="shared" si="49"/>
        <v>49.533333333333331</v>
      </c>
      <c r="F391" s="407">
        <v>100</v>
      </c>
      <c r="G391" s="111"/>
    </row>
    <row r="392" spans="1:7" ht="20.100000000000001" customHeight="1" x14ac:dyDescent="0.25">
      <c r="A392" s="222"/>
      <c r="B392" s="118" t="s">
        <v>1177</v>
      </c>
      <c r="C392" s="116">
        <v>150000000</v>
      </c>
      <c r="D392" s="221">
        <v>74300000</v>
      </c>
      <c r="E392" s="406">
        <f t="shared" si="49"/>
        <v>49.533333333333331</v>
      </c>
      <c r="F392" s="407">
        <v>100</v>
      </c>
      <c r="G392" s="111"/>
    </row>
    <row r="393" spans="1:7" ht="20.100000000000001" customHeight="1" x14ac:dyDescent="0.25">
      <c r="A393" s="222"/>
      <c r="B393" s="118" t="s">
        <v>1175</v>
      </c>
      <c r="C393" s="116">
        <v>100000000</v>
      </c>
      <c r="D393" s="221">
        <v>88350000</v>
      </c>
      <c r="E393" s="406">
        <f t="shared" si="49"/>
        <v>88.35</v>
      </c>
      <c r="F393" s="407">
        <v>100</v>
      </c>
      <c r="G393" s="111"/>
    </row>
    <row r="394" spans="1:7" ht="20.100000000000001" customHeight="1" x14ac:dyDescent="0.25">
      <c r="A394" s="222"/>
      <c r="B394" s="118" t="s">
        <v>1176</v>
      </c>
      <c r="C394" s="116">
        <v>90000000</v>
      </c>
      <c r="D394" s="221">
        <v>86800000</v>
      </c>
      <c r="E394" s="406">
        <f t="shared" si="49"/>
        <v>96.444444444444443</v>
      </c>
      <c r="F394" s="407">
        <v>100</v>
      </c>
      <c r="G394" s="111"/>
    </row>
    <row r="395" spans="1:7" ht="20.100000000000001" customHeight="1" x14ac:dyDescent="0.25">
      <c r="A395" s="222"/>
      <c r="B395" s="118" t="s">
        <v>1178</v>
      </c>
      <c r="C395" s="116">
        <v>750000000</v>
      </c>
      <c r="D395" s="221">
        <v>750000000</v>
      </c>
      <c r="E395" s="406">
        <f t="shared" si="49"/>
        <v>100</v>
      </c>
      <c r="F395" s="407">
        <v>100</v>
      </c>
      <c r="G395" s="111"/>
    </row>
    <row r="396" spans="1:7" ht="20.100000000000001" customHeight="1" x14ac:dyDescent="0.25">
      <c r="A396" s="222"/>
      <c r="B396" s="118" t="s">
        <v>938</v>
      </c>
      <c r="C396" s="116">
        <v>250000000</v>
      </c>
      <c r="D396" s="221">
        <v>249980000</v>
      </c>
      <c r="E396" s="406">
        <f t="shared" si="49"/>
        <v>99.992000000000004</v>
      </c>
      <c r="F396" s="407">
        <v>100</v>
      </c>
      <c r="G396" s="111"/>
    </row>
    <row r="397" spans="1:7" ht="20.100000000000001" customHeight="1" x14ac:dyDescent="0.25">
      <c r="A397" s="222"/>
      <c r="B397" s="118" t="s">
        <v>938</v>
      </c>
      <c r="C397" s="116">
        <v>680000000</v>
      </c>
      <c r="D397" s="221">
        <v>679966000</v>
      </c>
      <c r="E397" s="406">
        <f t="shared" si="49"/>
        <v>99.995000000000005</v>
      </c>
      <c r="F397" s="407">
        <v>100</v>
      </c>
      <c r="G397" s="111"/>
    </row>
    <row r="398" spans="1:7" ht="20.100000000000001" customHeight="1" x14ac:dyDescent="0.25">
      <c r="A398" s="222"/>
      <c r="B398" s="118" t="s">
        <v>1179</v>
      </c>
      <c r="C398" s="116">
        <v>1450500000</v>
      </c>
      <c r="D398" s="221">
        <v>1450500000</v>
      </c>
      <c r="E398" s="406">
        <f t="shared" si="49"/>
        <v>100</v>
      </c>
      <c r="F398" s="407">
        <v>100</v>
      </c>
      <c r="G398" s="111"/>
    </row>
    <row r="399" spans="1:7" ht="30" customHeight="1" x14ac:dyDescent="0.25">
      <c r="A399" s="222"/>
      <c r="B399" s="118" t="s">
        <v>1180</v>
      </c>
      <c r="C399" s="116">
        <v>100000000</v>
      </c>
      <c r="D399" s="221">
        <v>87800000</v>
      </c>
      <c r="E399" s="406">
        <f t="shared" si="49"/>
        <v>87.8</v>
      </c>
      <c r="F399" s="407">
        <v>90</v>
      </c>
      <c r="G399" s="111"/>
    </row>
    <row r="400" spans="1:7" ht="30" customHeight="1" x14ac:dyDescent="0.25">
      <c r="A400" s="222"/>
      <c r="B400" s="118" t="s">
        <v>1181</v>
      </c>
      <c r="C400" s="116">
        <v>150000000</v>
      </c>
      <c r="D400" s="221">
        <v>122800000</v>
      </c>
      <c r="E400" s="406">
        <f t="shared" si="49"/>
        <v>81.86666666666666</v>
      </c>
      <c r="F400" s="407">
        <v>85</v>
      </c>
      <c r="G400" s="111"/>
    </row>
    <row r="401" spans="1:7" ht="20.100000000000001" customHeight="1" x14ac:dyDescent="0.25">
      <c r="A401" s="222"/>
      <c r="B401" s="118" t="s">
        <v>1182</v>
      </c>
      <c r="C401" s="116">
        <v>150000000</v>
      </c>
      <c r="D401" s="221">
        <v>150000000</v>
      </c>
      <c r="E401" s="406">
        <f t="shared" si="49"/>
        <v>100</v>
      </c>
      <c r="F401" s="407">
        <v>100</v>
      </c>
      <c r="G401" s="111"/>
    </row>
    <row r="402" spans="1:7" ht="30" customHeight="1" x14ac:dyDescent="0.25">
      <c r="A402" s="222"/>
      <c r="B402" s="118" t="s">
        <v>1183</v>
      </c>
      <c r="C402" s="116">
        <v>387400000</v>
      </c>
      <c r="D402" s="221">
        <v>387400000</v>
      </c>
      <c r="E402" s="406">
        <f t="shared" si="49"/>
        <v>100</v>
      </c>
      <c r="F402" s="407">
        <v>100</v>
      </c>
      <c r="G402" s="111"/>
    </row>
    <row r="403" spans="1:7" ht="30" customHeight="1" x14ac:dyDescent="0.25">
      <c r="A403" s="222"/>
      <c r="B403" s="118" t="s">
        <v>1184</v>
      </c>
      <c r="C403" s="116">
        <v>430000000</v>
      </c>
      <c r="D403" s="221">
        <v>429000000</v>
      </c>
      <c r="E403" s="406">
        <f t="shared" si="49"/>
        <v>99.767441860465112</v>
      </c>
      <c r="F403" s="407">
        <v>100</v>
      </c>
      <c r="G403" s="111"/>
    </row>
    <row r="404" spans="1:7" ht="30" customHeight="1" x14ac:dyDescent="0.25">
      <c r="A404" s="222"/>
      <c r="B404" s="118" t="s">
        <v>1185</v>
      </c>
      <c r="C404" s="116">
        <v>963000000</v>
      </c>
      <c r="D404" s="221">
        <v>961500000</v>
      </c>
      <c r="E404" s="406">
        <f t="shared" si="49"/>
        <v>99.844236760124616</v>
      </c>
      <c r="F404" s="407">
        <v>100</v>
      </c>
      <c r="G404" s="111"/>
    </row>
    <row r="405" spans="1:7" ht="30" customHeight="1" x14ac:dyDescent="0.25">
      <c r="A405" s="222"/>
      <c r="B405" s="118" t="s">
        <v>1186</v>
      </c>
      <c r="C405" s="116">
        <v>300000000</v>
      </c>
      <c r="D405" s="221">
        <v>299940000</v>
      </c>
      <c r="E405" s="406">
        <f t="shared" si="49"/>
        <v>99.98</v>
      </c>
      <c r="F405" s="407">
        <v>100</v>
      </c>
      <c r="G405" s="111"/>
    </row>
    <row r="406" spans="1:7" ht="20.100000000000001" customHeight="1" x14ac:dyDescent="0.25">
      <c r="A406" s="222"/>
      <c r="B406" s="118" t="s">
        <v>1187</v>
      </c>
      <c r="C406" s="116">
        <v>800000000</v>
      </c>
      <c r="D406" s="221">
        <v>799500000</v>
      </c>
      <c r="E406" s="406">
        <f t="shared" si="49"/>
        <v>99.9375</v>
      </c>
      <c r="F406" s="407">
        <v>100</v>
      </c>
      <c r="G406" s="111"/>
    </row>
    <row r="407" spans="1:7" ht="20.100000000000001" customHeight="1" x14ac:dyDescent="0.25">
      <c r="A407" s="222"/>
      <c r="B407" s="118" t="s">
        <v>1188</v>
      </c>
      <c r="C407" s="116">
        <v>100000000</v>
      </c>
      <c r="D407" s="221">
        <v>75463000</v>
      </c>
      <c r="E407" s="406">
        <f t="shared" si="49"/>
        <v>75.463000000000008</v>
      </c>
      <c r="F407" s="407">
        <v>80</v>
      </c>
      <c r="G407" s="111"/>
    </row>
    <row r="408" spans="1:7" ht="20.100000000000001" customHeight="1" x14ac:dyDescent="0.25">
      <c r="A408" s="222"/>
      <c r="B408" s="118" t="s">
        <v>1188</v>
      </c>
      <c r="C408" s="116">
        <v>150000000</v>
      </c>
      <c r="D408" s="221">
        <v>99190000</v>
      </c>
      <c r="E408" s="406">
        <f t="shared" si="49"/>
        <v>66.126666666666665</v>
      </c>
      <c r="F408" s="407">
        <v>70</v>
      </c>
      <c r="G408" s="111"/>
    </row>
    <row r="409" spans="1:7" ht="20.100000000000001" customHeight="1" x14ac:dyDescent="0.25">
      <c r="A409" s="222"/>
      <c r="B409" s="118" t="s">
        <v>1188</v>
      </c>
      <c r="C409" s="116">
        <v>150000000</v>
      </c>
      <c r="D409" s="221">
        <v>66750000</v>
      </c>
      <c r="E409" s="406">
        <f t="shared" si="49"/>
        <v>44.5</v>
      </c>
      <c r="F409" s="407">
        <v>50</v>
      </c>
      <c r="G409" s="111"/>
    </row>
    <row r="410" spans="1:7" ht="20.100000000000001" customHeight="1" x14ac:dyDescent="0.25">
      <c r="A410" s="222"/>
      <c r="B410" s="118" t="s">
        <v>1189</v>
      </c>
      <c r="C410" s="116">
        <v>78489100</v>
      </c>
      <c r="D410" s="221">
        <v>78489000</v>
      </c>
      <c r="E410" s="406">
        <f t="shared" si="49"/>
        <v>99.999872593774171</v>
      </c>
      <c r="F410" s="407">
        <v>100</v>
      </c>
      <c r="G410" s="111"/>
    </row>
    <row r="411" spans="1:7" ht="20.100000000000001" customHeight="1" x14ac:dyDescent="0.25">
      <c r="A411" s="222"/>
      <c r="B411" s="118" t="s">
        <v>1190</v>
      </c>
      <c r="C411" s="116">
        <v>100000000</v>
      </c>
      <c r="D411" s="221">
        <v>99000000</v>
      </c>
      <c r="E411" s="406">
        <f t="shared" si="49"/>
        <v>99</v>
      </c>
      <c r="F411" s="407">
        <v>100</v>
      </c>
      <c r="G411" s="111"/>
    </row>
    <row r="412" spans="1:7" s="115" customFormat="1" ht="20.100000000000001" customHeight="1" x14ac:dyDescent="0.25">
      <c r="A412" s="222"/>
      <c r="B412" s="249" t="s">
        <v>693</v>
      </c>
      <c r="C412" s="116">
        <v>2000000000</v>
      </c>
      <c r="D412" s="220">
        <v>1859515000</v>
      </c>
      <c r="E412" s="405">
        <v>92.975750000000005</v>
      </c>
      <c r="F412" s="408">
        <f>SUM((F413:F420))/9</f>
        <v>76.666666666666671</v>
      </c>
      <c r="G412" s="121"/>
    </row>
    <row r="413" spans="1:7" ht="20.100000000000001" customHeight="1" x14ac:dyDescent="0.25">
      <c r="A413" s="222"/>
      <c r="B413" s="118" t="s">
        <v>1191</v>
      </c>
      <c r="C413" s="116">
        <v>200000000</v>
      </c>
      <c r="D413" s="221">
        <v>200000000</v>
      </c>
      <c r="E413" s="406">
        <f t="shared" si="49"/>
        <v>100</v>
      </c>
      <c r="F413" s="407">
        <v>100</v>
      </c>
      <c r="G413" s="111"/>
    </row>
    <row r="414" spans="1:7" ht="20.100000000000001" customHeight="1" x14ac:dyDescent="0.25">
      <c r="A414" s="222"/>
      <c r="B414" s="118" t="s">
        <v>1192</v>
      </c>
      <c r="C414" s="116">
        <v>500000000</v>
      </c>
      <c r="D414" s="221">
        <v>499000000</v>
      </c>
      <c r="E414" s="406">
        <f t="shared" si="49"/>
        <v>99.8</v>
      </c>
      <c r="F414" s="407">
        <v>100</v>
      </c>
      <c r="G414" s="111"/>
    </row>
    <row r="415" spans="1:7" ht="20.100000000000001" customHeight="1" x14ac:dyDescent="0.25">
      <c r="A415" s="222"/>
      <c r="B415" s="118" t="s">
        <v>1193</v>
      </c>
      <c r="C415" s="116">
        <v>100000000</v>
      </c>
      <c r="D415" s="409">
        <v>86065000</v>
      </c>
      <c r="E415" s="406">
        <f t="shared" si="49"/>
        <v>86.064999999999998</v>
      </c>
      <c r="F415" s="407">
        <v>90</v>
      </c>
      <c r="G415" s="111"/>
    </row>
    <row r="416" spans="1:7" ht="20.100000000000001" customHeight="1" x14ac:dyDescent="0.25">
      <c r="A416" s="222"/>
      <c r="B416" s="118" t="s">
        <v>1193</v>
      </c>
      <c r="C416" s="116">
        <v>100000000</v>
      </c>
      <c r="D416" s="221">
        <v>38850000</v>
      </c>
      <c r="E416" s="406">
        <f t="shared" si="49"/>
        <v>38.85</v>
      </c>
      <c r="F416" s="407">
        <v>50</v>
      </c>
      <c r="G416" s="111"/>
    </row>
    <row r="417" spans="1:7" ht="20.100000000000001" customHeight="1" x14ac:dyDescent="0.25">
      <c r="A417" s="222"/>
      <c r="B417" s="118" t="s">
        <v>1193</v>
      </c>
      <c r="C417" s="116">
        <v>100000000</v>
      </c>
      <c r="D417" s="221">
        <v>36600000</v>
      </c>
      <c r="E417" s="406">
        <f t="shared" si="49"/>
        <v>36.6</v>
      </c>
      <c r="F417" s="407">
        <v>50</v>
      </c>
      <c r="G417" s="111"/>
    </row>
    <row r="418" spans="1:7" ht="20.100000000000001" customHeight="1" x14ac:dyDescent="0.25">
      <c r="A418" s="159"/>
      <c r="B418" s="118" t="s">
        <v>1194</v>
      </c>
      <c r="C418" s="116">
        <v>500000000</v>
      </c>
      <c r="D418" s="221">
        <v>499000000</v>
      </c>
      <c r="E418" s="406">
        <f t="shared" si="49"/>
        <v>99.8</v>
      </c>
      <c r="F418" s="407">
        <v>100</v>
      </c>
      <c r="G418" s="111"/>
    </row>
    <row r="419" spans="1:7" ht="20.100000000000001" customHeight="1" x14ac:dyDescent="0.25">
      <c r="A419" s="159"/>
      <c r="B419" s="118" t="s">
        <v>1195</v>
      </c>
      <c r="C419" s="116">
        <v>200000000</v>
      </c>
      <c r="D419" s="221">
        <v>200000000</v>
      </c>
      <c r="E419" s="406">
        <f t="shared" si="49"/>
        <v>100</v>
      </c>
      <c r="F419" s="407">
        <v>100</v>
      </c>
      <c r="G419" s="111"/>
    </row>
    <row r="420" spans="1:7" ht="25.5" customHeight="1" x14ac:dyDescent="0.25">
      <c r="A420" s="159"/>
      <c r="B420" s="118" t="s">
        <v>1196</v>
      </c>
      <c r="C420" s="116">
        <v>300000000</v>
      </c>
      <c r="D420" s="221">
        <v>300000000</v>
      </c>
      <c r="E420" s="406">
        <f t="shared" si="49"/>
        <v>100</v>
      </c>
      <c r="F420" s="407">
        <v>100</v>
      </c>
      <c r="G420" s="111"/>
    </row>
    <row r="421" spans="1:7" s="115" customFormat="1" ht="20.100000000000001" customHeight="1" x14ac:dyDescent="0.25">
      <c r="A421" s="159"/>
      <c r="B421" s="249" t="s">
        <v>92</v>
      </c>
      <c r="C421" s="195">
        <f>SUM(C422:C426)</f>
        <v>730000000</v>
      </c>
      <c r="D421" s="113">
        <f>SUM(D422:D426)</f>
        <v>688512500</v>
      </c>
      <c r="E421" s="405">
        <f>D421/C421*100</f>
        <v>94.316780821917817</v>
      </c>
      <c r="F421" s="408">
        <f>SUM((F422:F426))/5</f>
        <v>98</v>
      </c>
      <c r="G421" s="121"/>
    </row>
    <row r="422" spans="1:7" ht="20.100000000000001" customHeight="1" x14ac:dyDescent="0.25">
      <c r="A422" s="109"/>
      <c r="B422" s="118" t="s">
        <v>1197</v>
      </c>
      <c r="C422" s="116">
        <v>120000000</v>
      </c>
      <c r="D422" s="221">
        <v>119932500</v>
      </c>
      <c r="E422" s="406">
        <v>99.943749999999994</v>
      </c>
      <c r="F422" s="407">
        <v>100</v>
      </c>
      <c r="G422" s="111"/>
    </row>
    <row r="423" spans="1:7" ht="20.100000000000001" customHeight="1" x14ac:dyDescent="0.25">
      <c r="A423" s="159"/>
      <c r="B423" s="118" t="s">
        <v>1197</v>
      </c>
      <c r="C423" s="116">
        <v>300000000</v>
      </c>
      <c r="D423" s="221">
        <v>300000000</v>
      </c>
      <c r="E423" s="406">
        <v>100</v>
      </c>
      <c r="F423" s="407">
        <v>100</v>
      </c>
      <c r="G423" s="111"/>
    </row>
    <row r="424" spans="1:7" ht="20.100000000000001" customHeight="1" x14ac:dyDescent="0.25">
      <c r="A424" s="159"/>
      <c r="B424" s="118" t="s">
        <v>1198</v>
      </c>
      <c r="C424" s="116">
        <v>160000000</v>
      </c>
      <c r="D424" s="221">
        <v>147180000</v>
      </c>
      <c r="E424" s="406">
        <v>91.987499999999997</v>
      </c>
      <c r="F424" s="407">
        <v>100</v>
      </c>
      <c r="G424" s="111"/>
    </row>
    <row r="425" spans="1:7" ht="20.100000000000001" customHeight="1" x14ac:dyDescent="0.25">
      <c r="A425" s="159"/>
      <c r="B425" s="118" t="s">
        <v>1199</v>
      </c>
      <c r="C425" s="116">
        <v>50000000</v>
      </c>
      <c r="D425" s="409">
        <v>41900000</v>
      </c>
      <c r="E425" s="406">
        <v>83.8</v>
      </c>
      <c r="F425" s="407">
        <v>100</v>
      </c>
      <c r="G425" s="111"/>
    </row>
    <row r="426" spans="1:7" ht="20.100000000000001" customHeight="1" x14ac:dyDescent="0.25">
      <c r="A426" s="159"/>
      <c r="B426" s="118" t="s">
        <v>1200</v>
      </c>
      <c r="C426" s="116">
        <v>100000000</v>
      </c>
      <c r="D426" s="409">
        <v>79500000</v>
      </c>
      <c r="E426" s="406">
        <v>79.5</v>
      </c>
      <c r="F426" s="407">
        <v>90</v>
      </c>
      <c r="G426" s="111"/>
    </row>
    <row r="427" spans="1:7" s="115" customFormat="1" ht="20.100000000000001" customHeight="1" x14ac:dyDescent="0.25">
      <c r="A427" s="159"/>
      <c r="B427" s="249" t="s">
        <v>1201</v>
      </c>
      <c r="C427" s="195">
        <f>SUM(C428:C430)</f>
        <v>2474000000</v>
      </c>
      <c r="D427" s="113">
        <f>SUM(D428:D430)</f>
        <v>2368281400</v>
      </c>
      <c r="E427" s="405">
        <f>D427/C427*100</f>
        <v>95.726814874696842</v>
      </c>
      <c r="F427" s="408">
        <f>SUM((F428:F430))/3</f>
        <v>70</v>
      </c>
      <c r="G427" s="121"/>
    </row>
    <row r="428" spans="1:7" ht="20.100000000000001" customHeight="1" x14ac:dyDescent="0.25">
      <c r="A428" s="109"/>
      <c r="B428" s="118" t="s">
        <v>1202</v>
      </c>
      <c r="C428" s="116">
        <v>2280000000</v>
      </c>
      <c r="D428" s="221">
        <v>2280000000</v>
      </c>
      <c r="E428" s="406">
        <v>100</v>
      </c>
      <c r="F428" s="407">
        <v>100</v>
      </c>
      <c r="G428" s="111"/>
    </row>
    <row r="429" spans="1:7" ht="20.100000000000001" customHeight="1" x14ac:dyDescent="0.25">
      <c r="A429" s="159"/>
      <c r="B429" s="118" t="s">
        <v>1202</v>
      </c>
      <c r="C429" s="116">
        <v>100000000</v>
      </c>
      <c r="D429" s="409">
        <v>50109200</v>
      </c>
      <c r="E429" s="406">
        <v>50.109200000000001</v>
      </c>
      <c r="F429" s="407">
        <v>60</v>
      </c>
      <c r="G429" s="111"/>
    </row>
    <row r="430" spans="1:7" ht="20.100000000000001" customHeight="1" x14ac:dyDescent="0.25">
      <c r="A430" s="159"/>
      <c r="B430" s="118" t="s">
        <v>1202</v>
      </c>
      <c r="C430" s="116">
        <v>94000000</v>
      </c>
      <c r="D430" s="221">
        <v>38172200</v>
      </c>
      <c r="E430" s="406">
        <v>40.608723404255322</v>
      </c>
      <c r="F430" s="407">
        <v>50</v>
      </c>
      <c r="G430" s="111"/>
    </row>
    <row r="431" spans="1:7" ht="9.9499999999999993" customHeight="1" x14ac:dyDescent="0.25">
      <c r="A431" s="159"/>
      <c r="B431" s="607"/>
      <c r="C431" s="582"/>
      <c r="D431" s="778"/>
      <c r="E431" s="117"/>
      <c r="F431" s="114"/>
      <c r="G431" s="111"/>
    </row>
    <row r="432" spans="1:7" ht="20.100000000000001" customHeight="1" x14ac:dyDescent="0.25">
      <c r="A432" s="159"/>
      <c r="B432" s="608" t="s">
        <v>1344</v>
      </c>
      <c r="C432" s="125">
        <v>8000000000</v>
      </c>
      <c r="D432" s="794">
        <f>D433</f>
        <v>800000000</v>
      </c>
      <c r="E432" s="405">
        <f>D432/C432*100</f>
        <v>10</v>
      </c>
      <c r="F432" s="114">
        <f>+E432</f>
        <v>10</v>
      </c>
      <c r="G432" s="111"/>
    </row>
    <row r="433" spans="1:8" ht="20.100000000000001" customHeight="1" x14ac:dyDescent="0.25">
      <c r="A433" s="159"/>
      <c r="B433" s="608" t="s">
        <v>1345</v>
      </c>
      <c r="C433" s="125">
        <v>8000000000</v>
      </c>
      <c r="D433" s="794">
        <f>SUM(D434:D435)</f>
        <v>800000000</v>
      </c>
      <c r="E433" s="406">
        <f>D433/C433*100</f>
        <v>10</v>
      </c>
      <c r="F433" s="114">
        <f>+E433</f>
        <v>10</v>
      </c>
      <c r="G433" s="111"/>
    </row>
    <row r="434" spans="1:8" ht="20.100000000000001" customHeight="1" x14ac:dyDescent="0.25">
      <c r="A434" s="159"/>
      <c r="B434" s="607" t="s">
        <v>1346</v>
      </c>
      <c r="C434" s="582">
        <v>8000000000</v>
      </c>
      <c r="D434" s="795">
        <v>800000000</v>
      </c>
      <c r="E434" s="406">
        <f>D434/C434*100</f>
        <v>10</v>
      </c>
      <c r="F434" s="114">
        <f>+E434</f>
        <v>10</v>
      </c>
      <c r="G434" s="111"/>
    </row>
    <row r="435" spans="1:8" ht="9.9499999999999993" customHeight="1" x14ac:dyDescent="0.25">
      <c r="A435" s="159"/>
      <c r="B435" s="607"/>
      <c r="C435" s="582"/>
      <c r="D435" s="778"/>
      <c r="E435" s="117"/>
      <c r="F435" s="117"/>
      <c r="G435" s="111"/>
    </row>
    <row r="436" spans="1:8" s="115" customFormat="1" ht="20.100000000000001" customHeight="1" x14ac:dyDescent="0.25">
      <c r="A436" s="222" t="s">
        <v>1350</v>
      </c>
      <c r="B436" s="48" t="s">
        <v>1351</v>
      </c>
      <c r="C436" s="595">
        <f>+C437</f>
        <v>28715951500</v>
      </c>
      <c r="D436" s="779">
        <f>+D437+D464+D473+D478+D482</f>
        <v>27170693218</v>
      </c>
      <c r="E436" s="114">
        <f>+D436/C436*100</f>
        <v>94.618815671143622</v>
      </c>
      <c r="F436" s="114">
        <f>F437</f>
        <v>99.6</v>
      </c>
      <c r="G436" s="121"/>
      <c r="H436" s="324"/>
    </row>
    <row r="437" spans="1:8" ht="20.100000000000001" customHeight="1" x14ac:dyDescent="0.25">
      <c r="A437" s="222"/>
      <c r="B437" s="249" t="s">
        <v>2547</v>
      </c>
      <c r="C437" s="195">
        <f>C438+C464+C473+C478+C482</f>
        <v>28715951500</v>
      </c>
      <c r="D437" s="779">
        <f>+D438</f>
        <v>18190393218</v>
      </c>
      <c r="E437" s="114">
        <f>D437/C437%</f>
        <v>63.345953269213453</v>
      </c>
      <c r="F437" s="114">
        <f>(F438+F464+F473+F478+F482)/5</f>
        <v>99.6</v>
      </c>
      <c r="G437" s="107"/>
    </row>
    <row r="438" spans="1:8" ht="20.100000000000001" customHeight="1" x14ac:dyDescent="0.25">
      <c r="A438" s="222"/>
      <c r="B438" s="249" t="s">
        <v>1352</v>
      </c>
      <c r="C438" s="125">
        <f>C439+C446+C452+C459+C461</f>
        <v>19531250000</v>
      </c>
      <c r="D438" s="796">
        <f>D439+D446+D452+D459+D461</f>
        <v>18190393218</v>
      </c>
      <c r="E438" s="336">
        <f t="shared" ref="E438:E462" si="50">D438/C438*100</f>
        <v>93.134813276160003</v>
      </c>
      <c r="F438" s="336">
        <v>98</v>
      </c>
      <c r="G438" s="125"/>
    </row>
    <row r="439" spans="1:8" ht="20.100000000000001" customHeight="1" x14ac:dyDescent="0.25">
      <c r="A439" s="222"/>
      <c r="B439" s="249" t="s">
        <v>797</v>
      </c>
      <c r="C439" s="125">
        <f>SUM(C440:C445)</f>
        <v>3558350000</v>
      </c>
      <c r="D439" s="797">
        <f>SUM(D440:D445)</f>
        <v>3324417000</v>
      </c>
      <c r="E439" s="336">
        <f t="shared" si="50"/>
        <v>93.42580128430312</v>
      </c>
      <c r="F439" s="246">
        <v>100</v>
      </c>
      <c r="G439" s="125"/>
    </row>
    <row r="440" spans="1:8" ht="20.100000000000001" customHeight="1" x14ac:dyDescent="0.25">
      <c r="A440" s="222"/>
      <c r="B440" s="118" t="s">
        <v>1353</v>
      </c>
      <c r="C440" s="582">
        <v>853150000</v>
      </c>
      <c r="D440" s="798">
        <v>851225000</v>
      </c>
      <c r="E440" s="334">
        <f t="shared" si="50"/>
        <v>99.774365586356438</v>
      </c>
      <c r="F440" s="247">
        <v>100</v>
      </c>
      <c r="G440" s="582"/>
    </row>
    <row r="441" spans="1:8" ht="20.100000000000001" customHeight="1" x14ac:dyDescent="0.25">
      <c r="A441" s="222"/>
      <c r="B441" s="118" t="s">
        <v>1354</v>
      </c>
      <c r="C441" s="582">
        <v>500000000</v>
      </c>
      <c r="D441" s="798">
        <v>288748000</v>
      </c>
      <c r="E441" s="334">
        <f t="shared" si="50"/>
        <v>57.749600000000001</v>
      </c>
      <c r="F441" s="247">
        <v>60</v>
      </c>
      <c r="G441" s="582"/>
    </row>
    <row r="442" spans="1:8" ht="20.100000000000001" customHeight="1" x14ac:dyDescent="0.25">
      <c r="A442" s="222"/>
      <c r="B442" s="118" t="s">
        <v>1355</v>
      </c>
      <c r="C442" s="582">
        <v>60000000</v>
      </c>
      <c r="D442" s="798">
        <v>59800000</v>
      </c>
      <c r="E442" s="334">
        <f t="shared" si="50"/>
        <v>99.666666666666671</v>
      </c>
      <c r="F442" s="247">
        <v>100</v>
      </c>
      <c r="G442" s="582"/>
    </row>
    <row r="443" spans="1:8" ht="20.100000000000001" customHeight="1" x14ac:dyDescent="0.25">
      <c r="A443" s="222"/>
      <c r="B443" s="118" t="s">
        <v>1356</v>
      </c>
      <c r="C443" s="582">
        <v>300000000</v>
      </c>
      <c r="D443" s="798">
        <v>299000000</v>
      </c>
      <c r="E443" s="336">
        <f t="shared" si="50"/>
        <v>99.666666666666671</v>
      </c>
      <c r="F443" s="247">
        <v>100</v>
      </c>
      <c r="G443" s="582"/>
    </row>
    <row r="444" spans="1:8" ht="20.100000000000001" customHeight="1" x14ac:dyDescent="0.25">
      <c r="A444" s="222"/>
      <c r="B444" s="118" t="s">
        <v>1357</v>
      </c>
      <c r="C444" s="582">
        <v>275000000</v>
      </c>
      <c r="D444" s="799">
        <v>269844000</v>
      </c>
      <c r="E444" s="334">
        <f t="shared" si="50"/>
        <v>98.1250909090909</v>
      </c>
      <c r="F444" s="247">
        <v>100</v>
      </c>
      <c r="G444" s="582"/>
    </row>
    <row r="445" spans="1:8" ht="20.100000000000001" customHeight="1" x14ac:dyDescent="0.25">
      <c r="A445" s="222"/>
      <c r="B445" s="118" t="s">
        <v>1358</v>
      </c>
      <c r="C445" s="582">
        <v>1570200000</v>
      </c>
      <c r="D445" s="799">
        <v>1555800000</v>
      </c>
      <c r="E445" s="334">
        <f t="shared" si="50"/>
        <v>99.082919373328238</v>
      </c>
      <c r="F445" s="247">
        <v>100</v>
      </c>
      <c r="G445" s="582"/>
    </row>
    <row r="446" spans="1:8" ht="20.100000000000001" customHeight="1" x14ac:dyDescent="0.25">
      <c r="A446" s="222"/>
      <c r="B446" s="249" t="s">
        <v>680</v>
      </c>
      <c r="C446" s="125">
        <f>SUM(C447:C451)</f>
        <v>6622841375</v>
      </c>
      <c r="D446" s="797">
        <f>SUM(D447:D451)</f>
        <v>5530073750</v>
      </c>
      <c r="E446" s="336">
        <f t="shared" si="50"/>
        <v>83.500018147422423</v>
      </c>
      <c r="F446" s="246">
        <v>100</v>
      </c>
      <c r="G446" s="125"/>
    </row>
    <row r="447" spans="1:8" ht="20.100000000000001" customHeight="1" x14ac:dyDescent="0.25">
      <c r="A447" s="222"/>
      <c r="B447" s="118" t="s">
        <v>1359</v>
      </c>
      <c r="C447" s="582">
        <v>5573100000</v>
      </c>
      <c r="D447" s="799">
        <v>4578420000</v>
      </c>
      <c r="E447" s="334">
        <f t="shared" si="50"/>
        <v>82.15212359369113</v>
      </c>
      <c r="F447" s="247">
        <v>100</v>
      </c>
      <c r="G447" s="582"/>
    </row>
    <row r="448" spans="1:8" ht="20.100000000000001" customHeight="1" x14ac:dyDescent="0.25">
      <c r="A448" s="222"/>
      <c r="B448" s="118" t="s">
        <v>1360</v>
      </c>
      <c r="C448" s="582">
        <v>40000000</v>
      </c>
      <c r="D448" s="799">
        <v>39770000</v>
      </c>
      <c r="E448" s="334">
        <f t="shared" si="50"/>
        <v>99.424999999999997</v>
      </c>
      <c r="F448" s="247">
        <v>100</v>
      </c>
      <c r="G448" s="582"/>
    </row>
    <row r="449" spans="1:7" ht="20.100000000000001" customHeight="1" x14ac:dyDescent="0.25">
      <c r="A449" s="222"/>
      <c r="B449" s="118" t="s">
        <v>1361</v>
      </c>
      <c r="C449" s="582">
        <v>150000000</v>
      </c>
      <c r="D449" s="798">
        <v>149710000</v>
      </c>
      <c r="E449" s="334">
        <f t="shared" si="50"/>
        <v>99.806666666666672</v>
      </c>
      <c r="F449" s="247">
        <v>100</v>
      </c>
      <c r="G449" s="582"/>
    </row>
    <row r="450" spans="1:7" ht="20.100000000000001" customHeight="1" x14ac:dyDescent="0.25">
      <c r="A450" s="222"/>
      <c r="B450" s="118" t="s">
        <v>1362</v>
      </c>
      <c r="C450" s="582">
        <v>709741375</v>
      </c>
      <c r="D450" s="799">
        <v>615053750</v>
      </c>
      <c r="E450" s="334">
        <f t="shared" si="50"/>
        <v>86.658855135788016</v>
      </c>
      <c r="F450" s="247">
        <v>100</v>
      </c>
      <c r="G450" s="582"/>
    </row>
    <row r="451" spans="1:7" ht="20.100000000000001" customHeight="1" x14ac:dyDescent="0.25">
      <c r="A451" s="222"/>
      <c r="B451" s="118" t="s">
        <v>1363</v>
      </c>
      <c r="C451" s="582">
        <v>150000000</v>
      </c>
      <c r="D451" s="799">
        <v>147120000</v>
      </c>
      <c r="E451" s="334">
        <f t="shared" si="50"/>
        <v>98.08</v>
      </c>
      <c r="F451" s="247">
        <v>100</v>
      </c>
      <c r="G451" s="582"/>
    </row>
    <row r="452" spans="1:7" ht="20.100000000000001" customHeight="1" x14ac:dyDescent="0.25">
      <c r="A452" s="222"/>
      <c r="B452" s="249" t="s">
        <v>693</v>
      </c>
      <c r="C452" s="125">
        <f>SUM(C453:C458)</f>
        <v>2124358625</v>
      </c>
      <c r="D452" s="797">
        <f>SUM(D453:D458)</f>
        <v>2117642600</v>
      </c>
      <c r="E452" s="336">
        <f t="shared" si="50"/>
        <v>99.683856345112162</v>
      </c>
      <c r="F452" s="246">
        <v>100</v>
      </c>
      <c r="G452" s="125"/>
    </row>
    <row r="453" spans="1:7" ht="20.100000000000001" customHeight="1" x14ac:dyDescent="0.25">
      <c r="A453" s="222"/>
      <c r="B453" s="118" t="s">
        <v>1364</v>
      </c>
      <c r="C453" s="582">
        <v>1120562125</v>
      </c>
      <c r="D453" s="799">
        <v>1120560000</v>
      </c>
      <c r="E453" s="334">
        <f t="shared" si="50"/>
        <v>99.999810363035422</v>
      </c>
      <c r="F453" s="247">
        <v>100</v>
      </c>
      <c r="G453" s="582"/>
    </row>
    <row r="454" spans="1:7" ht="20.100000000000001" customHeight="1" x14ac:dyDescent="0.25">
      <c r="A454" s="222"/>
      <c r="B454" s="118" t="s">
        <v>4004</v>
      </c>
      <c r="C454" s="582">
        <v>149696500</v>
      </c>
      <c r="D454" s="799">
        <v>144764500</v>
      </c>
      <c r="E454" s="334">
        <f t="shared" si="50"/>
        <v>96.705333792039227</v>
      </c>
      <c r="F454" s="247">
        <v>100</v>
      </c>
      <c r="G454" s="582"/>
    </row>
    <row r="455" spans="1:7" ht="20.100000000000001" customHeight="1" x14ac:dyDescent="0.25">
      <c r="A455" s="222"/>
      <c r="B455" s="118" t="s">
        <v>1366</v>
      </c>
      <c r="C455" s="582">
        <v>222700000</v>
      </c>
      <c r="D455" s="799">
        <v>221700000</v>
      </c>
      <c r="E455" s="334">
        <f t="shared" si="50"/>
        <v>99.550965424337676</v>
      </c>
      <c r="F455" s="247">
        <v>100</v>
      </c>
      <c r="G455" s="582"/>
    </row>
    <row r="456" spans="1:7" ht="20.100000000000001" customHeight="1" x14ac:dyDescent="0.25">
      <c r="A456" s="222"/>
      <c r="B456" s="118" t="s">
        <v>4005</v>
      </c>
      <c r="C456" s="582">
        <v>207000000</v>
      </c>
      <c r="D456" s="799">
        <v>207000000</v>
      </c>
      <c r="E456" s="334">
        <f t="shared" si="50"/>
        <v>100</v>
      </c>
      <c r="F456" s="247">
        <v>100</v>
      </c>
      <c r="G456" s="582"/>
    </row>
    <row r="457" spans="1:7" ht="20.100000000000001" customHeight="1" x14ac:dyDescent="0.25">
      <c r="A457" s="222"/>
      <c r="B457" s="118" t="s">
        <v>1368</v>
      </c>
      <c r="C457" s="582">
        <v>350000000</v>
      </c>
      <c r="D457" s="799">
        <v>349218100</v>
      </c>
      <c r="E457" s="334">
        <f t="shared" si="50"/>
        <v>99.776600000000002</v>
      </c>
      <c r="F457" s="247">
        <v>100</v>
      </c>
      <c r="G457" s="582"/>
    </row>
    <row r="458" spans="1:7" ht="20.100000000000001" customHeight="1" x14ac:dyDescent="0.25">
      <c r="A458" s="222"/>
      <c r="B458" s="118" t="s">
        <v>1369</v>
      </c>
      <c r="C458" s="582">
        <v>74400000</v>
      </c>
      <c r="D458" s="798">
        <v>74400000</v>
      </c>
      <c r="E458" s="334">
        <f t="shared" si="50"/>
        <v>100</v>
      </c>
      <c r="F458" s="247">
        <v>100</v>
      </c>
      <c r="G458" s="582"/>
    </row>
    <row r="459" spans="1:7" ht="20.100000000000001" customHeight="1" x14ac:dyDescent="0.25">
      <c r="A459" s="222"/>
      <c r="B459" s="249" t="s">
        <v>100</v>
      </c>
      <c r="C459" s="411">
        <f>C460</f>
        <v>6262275000</v>
      </c>
      <c r="D459" s="797">
        <f>D460</f>
        <v>6262275000</v>
      </c>
      <c r="E459" s="336">
        <f t="shared" si="50"/>
        <v>100</v>
      </c>
      <c r="F459" s="246">
        <v>100</v>
      </c>
      <c r="G459" s="125"/>
    </row>
    <row r="460" spans="1:7" ht="20.100000000000001" customHeight="1" x14ac:dyDescent="0.25">
      <c r="A460" s="226"/>
      <c r="B460" s="118" t="s">
        <v>1370</v>
      </c>
      <c r="C460" s="413">
        <v>6262275000</v>
      </c>
      <c r="D460" s="799">
        <f>+C460</f>
        <v>6262275000</v>
      </c>
      <c r="E460" s="334">
        <f t="shared" si="50"/>
        <v>100</v>
      </c>
      <c r="F460" s="247">
        <v>100</v>
      </c>
      <c r="G460" s="582"/>
    </row>
    <row r="461" spans="1:7" s="115" customFormat="1" ht="20.100000000000001" customHeight="1" x14ac:dyDescent="0.25">
      <c r="A461" s="222"/>
      <c r="B461" s="249" t="s">
        <v>1371</v>
      </c>
      <c r="C461" s="411">
        <f>C462</f>
        <v>963425000</v>
      </c>
      <c r="D461" s="797">
        <f>D462</f>
        <v>955984868</v>
      </c>
      <c r="E461" s="336">
        <f t="shared" si="50"/>
        <v>99.227741443288267</v>
      </c>
      <c r="F461" s="246">
        <v>100</v>
      </c>
      <c r="G461" s="125"/>
    </row>
    <row r="462" spans="1:7" ht="20.100000000000001" customHeight="1" x14ac:dyDescent="0.25">
      <c r="A462" s="222"/>
      <c r="B462" s="118" t="s">
        <v>1372</v>
      </c>
      <c r="C462" s="413">
        <v>963425000</v>
      </c>
      <c r="D462" s="799">
        <v>955984868</v>
      </c>
      <c r="E462" s="334">
        <f t="shared" si="50"/>
        <v>99.227741443288267</v>
      </c>
      <c r="F462" s="247">
        <v>100</v>
      </c>
      <c r="G462" s="582"/>
    </row>
    <row r="463" spans="1:7" ht="9.9499999999999993" customHeight="1" x14ac:dyDescent="0.25">
      <c r="A463" s="222"/>
      <c r="B463" s="118"/>
      <c r="C463" s="116"/>
      <c r="D463" s="778"/>
      <c r="E463" s="117"/>
      <c r="F463" s="117"/>
      <c r="G463" s="111"/>
    </row>
    <row r="464" spans="1:7" ht="20.100000000000001" customHeight="1" x14ac:dyDescent="0.25">
      <c r="A464" s="159"/>
      <c r="B464" s="249" t="s">
        <v>1373</v>
      </c>
      <c r="C464" s="125">
        <f>C465+C470</f>
        <v>8115701500</v>
      </c>
      <c r="D464" s="800">
        <f>D465+D470</f>
        <v>8021620000</v>
      </c>
      <c r="E464" s="367">
        <f t="shared" ref="E464:E471" si="51">D464/C464*100</f>
        <v>98.840747161536186</v>
      </c>
      <c r="F464" s="110">
        <v>100</v>
      </c>
      <c r="G464" s="111"/>
    </row>
    <row r="465" spans="1:7" ht="20.100000000000001" customHeight="1" x14ac:dyDescent="0.25">
      <c r="A465" s="159"/>
      <c r="B465" s="610" t="s">
        <v>1374</v>
      </c>
      <c r="C465" s="125">
        <f>SUM(C466:C469)</f>
        <v>5421600000</v>
      </c>
      <c r="D465" s="800">
        <f>SUM(D466:D469)</f>
        <v>4588620000</v>
      </c>
      <c r="E465" s="367">
        <f t="shared" si="51"/>
        <v>84.635900841080129</v>
      </c>
      <c r="F465" s="110">
        <v>100</v>
      </c>
      <c r="G465" s="111"/>
    </row>
    <row r="466" spans="1:7" ht="20.100000000000001" customHeight="1" x14ac:dyDescent="0.25">
      <c r="A466" s="159"/>
      <c r="B466" s="611" t="s">
        <v>1375</v>
      </c>
      <c r="C466" s="582">
        <v>780720000</v>
      </c>
      <c r="D466" s="801">
        <v>677130000</v>
      </c>
      <c r="E466" s="612">
        <f t="shared" si="51"/>
        <v>86.731478635106058</v>
      </c>
      <c r="F466" s="235">
        <v>100</v>
      </c>
      <c r="G466" s="111"/>
    </row>
    <row r="467" spans="1:7" ht="20.100000000000001" customHeight="1" x14ac:dyDescent="0.25">
      <c r="A467" s="159"/>
      <c r="B467" s="611" t="s">
        <v>1376</v>
      </c>
      <c r="C467" s="582">
        <v>3109200000</v>
      </c>
      <c r="D467" s="801">
        <v>2597730000</v>
      </c>
      <c r="E467" s="612">
        <f t="shared" si="51"/>
        <v>83.54978772674643</v>
      </c>
      <c r="F467" s="235">
        <v>100</v>
      </c>
      <c r="G467" s="111"/>
    </row>
    <row r="468" spans="1:7" ht="20.100000000000001" customHeight="1" x14ac:dyDescent="0.25">
      <c r="A468" s="159"/>
      <c r="B468" s="611" t="s">
        <v>1377</v>
      </c>
      <c r="C468" s="582">
        <v>931680000</v>
      </c>
      <c r="D468" s="801">
        <v>713760000</v>
      </c>
      <c r="E468" s="612">
        <f t="shared" si="51"/>
        <v>76.609994848016484</v>
      </c>
      <c r="F468" s="235">
        <v>100</v>
      </c>
      <c r="G468" s="111"/>
    </row>
    <row r="469" spans="1:7" ht="20.100000000000001" customHeight="1" x14ac:dyDescent="0.25">
      <c r="A469" s="159"/>
      <c r="B469" s="611" t="s">
        <v>1378</v>
      </c>
      <c r="C469" s="582">
        <v>600000000</v>
      </c>
      <c r="D469" s="802">
        <v>600000000</v>
      </c>
      <c r="E469" s="612">
        <f t="shared" si="51"/>
        <v>100</v>
      </c>
      <c r="F469" s="235">
        <v>100</v>
      </c>
      <c r="G469" s="111"/>
    </row>
    <row r="470" spans="1:7" ht="20.100000000000001" customHeight="1" x14ac:dyDescent="0.25">
      <c r="A470" s="159"/>
      <c r="B470" s="249" t="s">
        <v>1371</v>
      </c>
      <c r="C470" s="125">
        <f>C471</f>
        <v>2694101500</v>
      </c>
      <c r="D470" s="800">
        <f>D471</f>
        <v>3433000000</v>
      </c>
      <c r="E470" s="367">
        <f t="shared" si="51"/>
        <v>127.42652791663566</v>
      </c>
      <c r="F470" s="110">
        <v>100</v>
      </c>
      <c r="G470" s="111"/>
    </row>
    <row r="471" spans="1:7" ht="27" customHeight="1" x14ac:dyDescent="0.25">
      <c r="A471" s="159"/>
      <c r="B471" s="118" t="s">
        <v>1379</v>
      </c>
      <c r="C471" s="582">
        <v>2694101500</v>
      </c>
      <c r="D471" s="802">
        <v>3433000000</v>
      </c>
      <c r="E471" s="612">
        <f t="shared" si="51"/>
        <v>127.42652791663566</v>
      </c>
      <c r="F471" s="235">
        <v>100</v>
      </c>
      <c r="G471" s="111"/>
    </row>
    <row r="472" spans="1:7" ht="9.9499999999999993" customHeight="1" x14ac:dyDescent="0.25">
      <c r="A472" s="159"/>
      <c r="B472" s="118"/>
      <c r="C472" s="116"/>
      <c r="D472" s="778"/>
      <c r="E472" s="117"/>
      <c r="F472" s="117"/>
      <c r="G472" s="111"/>
    </row>
    <row r="473" spans="1:7" ht="20.100000000000001" customHeight="1" x14ac:dyDescent="0.25">
      <c r="A473" s="159"/>
      <c r="B473" s="249" t="s">
        <v>1432</v>
      </c>
      <c r="C473" s="125">
        <f>C474</f>
        <v>519000000</v>
      </c>
      <c r="D473" s="779">
        <f>+D474</f>
        <v>408790000</v>
      </c>
      <c r="E473" s="117">
        <f>D473/C473*100</f>
        <v>78.76493256262043</v>
      </c>
      <c r="F473" s="117">
        <v>100</v>
      </c>
      <c r="G473" s="111"/>
    </row>
    <row r="474" spans="1:7" ht="20.100000000000001" customHeight="1" x14ac:dyDescent="0.25">
      <c r="A474" s="159"/>
      <c r="B474" s="249" t="s">
        <v>468</v>
      </c>
      <c r="C474" s="125">
        <f>SUM(C475:C476)</f>
        <v>519000000</v>
      </c>
      <c r="D474" s="779">
        <f>+D475+D476</f>
        <v>408790000</v>
      </c>
      <c r="E474" s="114">
        <f>D474/C474*100</f>
        <v>78.76493256262043</v>
      </c>
      <c r="F474" s="114">
        <v>100</v>
      </c>
      <c r="G474" s="111"/>
    </row>
    <row r="475" spans="1:7" ht="20.100000000000001" customHeight="1" x14ac:dyDescent="0.25">
      <c r="A475" s="159"/>
      <c r="B475" s="118" t="s">
        <v>1437</v>
      </c>
      <c r="C475" s="582">
        <v>375000000</v>
      </c>
      <c r="D475" s="798">
        <v>267688000</v>
      </c>
      <c r="E475" s="114">
        <v>61.244336562971959</v>
      </c>
      <c r="F475" s="117">
        <v>100</v>
      </c>
      <c r="G475" s="111"/>
    </row>
    <row r="476" spans="1:7" ht="20.100000000000001" customHeight="1" x14ac:dyDescent="0.25">
      <c r="A476" s="159"/>
      <c r="B476" s="118" t="s">
        <v>1438</v>
      </c>
      <c r="C476" s="582">
        <v>144000000</v>
      </c>
      <c r="D476" s="798">
        <v>141102000</v>
      </c>
      <c r="E476" s="334">
        <f>D476/C476*100</f>
        <v>97.987500000000011</v>
      </c>
      <c r="F476" s="247">
        <v>100</v>
      </c>
      <c r="G476" s="111"/>
    </row>
    <row r="477" spans="1:7" ht="9.9499999999999993" customHeight="1" x14ac:dyDescent="0.25">
      <c r="A477" s="159"/>
      <c r="B477" s="249"/>
      <c r="C477" s="125"/>
      <c r="D477" s="779"/>
      <c r="E477" s="114"/>
      <c r="F477" s="114"/>
      <c r="G477" s="111"/>
    </row>
    <row r="478" spans="1:7" ht="20.100000000000001" customHeight="1" x14ac:dyDescent="0.25">
      <c r="A478" s="159"/>
      <c r="B478" s="249" t="s">
        <v>1491</v>
      </c>
      <c r="C478" s="125">
        <f>C479</f>
        <v>250000000</v>
      </c>
      <c r="D478" s="803">
        <f>D479</f>
        <v>249890000</v>
      </c>
      <c r="E478" s="336">
        <f>D478/C478*100</f>
        <v>99.956000000000003</v>
      </c>
      <c r="F478" s="246">
        <v>100</v>
      </c>
      <c r="G478" s="111"/>
    </row>
    <row r="479" spans="1:7" ht="20.100000000000001" customHeight="1" x14ac:dyDescent="0.25">
      <c r="A479" s="159"/>
      <c r="B479" s="249" t="s">
        <v>275</v>
      </c>
      <c r="C479" s="125">
        <f>C480</f>
        <v>250000000</v>
      </c>
      <c r="D479" s="796">
        <f>D480</f>
        <v>249890000</v>
      </c>
      <c r="E479" s="336">
        <f>D479/C479*100</f>
        <v>99.956000000000003</v>
      </c>
      <c r="F479" s="246">
        <v>100</v>
      </c>
      <c r="G479" s="111"/>
    </row>
    <row r="480" spans="1:7" ht="20.100000000000001" customHeight="1" x14ac:dyDescent="0.25">
      <c r="A480" s="159"/>
      <c r="B480" s="118" t="s">
        <v>1492</v>
      </c>
      <c r="C480" s="582">
        <v>250000000</v>
      </c>
      <c r="D480" s="799">
        <v>249890000</v>
      </c>
      <c r="E480" s="334">
        <f>D480/C480*100</f>
        <v>99.956000000000003</v>
      </c>
      <c r="F480" s="247">
        <v>100</v>
      </c>
      <c r="G480" s="111"/>
    </row>
    <row r="481" spans="1:7" ht="9.9499999999999993" customHeight="1" x14ac:dyDescent="0.25">
      <c r="A481" s="159"/>
      <c r="B481" s="249"/>
      <c r="C481" s="125"/>
      <c r="D481" s="779"/>
      <c r="E481" s="114"/>
      <c r="F481" s="114"/>
      <c r="G481" s="111"/>
    </row>
    <row r="482" spans="1:7" ht="20.100000000000001" customHeight="1" x14ac:dyDescent="0.25">
      <c r="A482" s="159"/>
      <c r="B482" s="249" t="s">
        <v>1119</v>
      </c>
      <c r="C482" s="125">
        <f>C483+C485</f>
        <v>300000000</v>
      </c>
      <c r="D482" s="803">
        <f>D483+D485</f>
        <v>300000000</v>
      </c>
      <c r="E482" s="336">
        <f>D482/C482*100</f>
        <v>100</v>
      </c>
      <c r="F482" s="246">
        <v>100</v>
      </c>
      <c r="G482" s="111"/>
    </row>
    <row r="483" spans="1:7" ht="20.100000000000001" customHeight="1" x14ac:dyDescent="0.25">
      <c r="A483" s="159"/>
      <c r="B483" s="118" t="s">
        <v>299</v>
      </c>
      <c r="C483" s="582">
        <f>C484</f>
        <v>100000000</v>
      </c>
      <c r="D483" s="803">
        <f>D484</f>
        <v>100000000</v>
      </c>
      <c r="E483" s="336">
        <f>D483/C483*100</f>
        <v>100</v>
      </c>
      <c r="F483" s="246">
        <v>100</v>
      </c>
      <c r="G483" s="111"/>
    </row>
    <row r="484" spans="1:7" ht="20.100000000000001" customHeight="1" x14ac:dyDescent="0.25">
      <c r="A484" s="159"/>
      <c r="B484" s="118" t="s">
        <v>1493</v>
      </c>
      <c r="C484" s="582">
        <v>100000000</v>
      </c>
      <c r="D484" s="798">
        <v>100000000</v>
      </c>
      <c r="E484" s="334">
        <f>D484/C484*100</f>
        <v>100</v>
      </c>
      <c r="F484" s="247">
        <v>100</v>
      </c>
      <c r="G484" s="111"/>
    </row>
    <row r="485" spans="1:7" ht="20.100000000000001" customHeight="1" x14ac:dyDescent="0.25">
      <c r="A485" s="159"/>
      <c r="B485" s="118" t="s">
        <v>343</v>
      </c>
      <c r="C485" s="582">
        <f>C486</f>
        <v>200000000</v>
      </c>
      <c r="D485" s="803">
        <f>D486</f>
        <v>200000000</v>
      </c>
      <c r="E485" s="336">
        <f>D485/C485*100</f>
        <v>100</v>
      </c>
      <c r="F485" s="246">
        <v>100</v>
      </c>
      <c r="G485" s="111"/>
    </row>
    <row r="486" spans="1:7" ht="20.100000000000001" customHeight="1" x14ac:dyDescent="0.25">
      <c r="A486" s="159"/>
      <c r="B486" s="118" t="s">
        <v>1494</v>
      </c>
      <c r="C486" s="582">
        <v>200000000</v>
      </c>
      <c r="D486" s="799">
        <v>200000000</v>
      </c>
      <c r="E486" s="334">
        <f>D486/C486*100</f>
        <v>100</v>
      </c>
      <c r="F486" s="247">
        <v>100</v>
      </c>
      <c r="G486" s="111"/>
    </row>
    <row r="487" spans="1:7" ht="9.9499999999999993" customHeight="1" x14ac:dyDescent="0.25">
      <c r="A487" s="159"/>
      <c r="B487" s="118"/>
      <c r="C487" s="107"/>
      <c r="D487" s="793"/>
      <c r="E487" s="117"/>
      <c r="F487" s="117"/>
      <c r="G487" s="111"/>
    </row>
    <row r="488" spans="1:7" ht="20.100000000000001" customHeight="1" x14ac:dyDescent="0.25">
      <c r="A488" s="222" t="s">
        <v>1501</v>
      </c>
      <c r="B488" s="48" t="s">
        <v>1502</v>
      </c>
      <c r="C488" s="606">
        <f>+C489+C515+C531</f>
        <v>30031257900</v>
      </c>
      <c r="D488" s="779">
        <f>+D489+D515+D531</f>
        <v>22519873200</v>
      </c>
      <c r="E488" s="114">
        <f>+D488/C488*100</f>
        <v>74.98811163684222</v>
      </c>
      <c r="F488" s="114">
        <f>(F489+F531)/2</f>
        <v>80.36125061579844</v>
      </c>
      <c r="G488" s="111"/>
    </row>
    <row r="489" spans="1:7" ht="20.100000000000001" customHeight="1" x14ac:dyDescent="0.25">
      <c r="A489" s="222"/>
      <c r="B489" s="48" t="s">
        <v>977</v>
      </c>
      <c r="C489" s="606">
        <f>+C490+C494+C504+C506+C508</f>
        <v>24277955000</v>
      </c>
      <c r="D489" s="804">
        <v>17272907000</v>
      </c>
      <c r="E489" s="333">
        <v>71.146466001769909</v>
      </c>
      <c r="F489" s="333">
        <v>67.685750748037876</v>
      </c>
      <c r="G489" s="111"/>
    </row>
    <row r="490" spans="1:7" ht="20.100000000000001" customHeight="1" x14ac:dyDescent="0.25">
      <c r="A490" s="222"/>
      <c r="B490" s="121" t="s">
        <v>797</v>
      </c>
      <c r="C490" s="606">
        <f>SUM(C491:C493)</f>
        <v>3591237000</v>
      </c>
      <c r="D490" s="804">
        <v>1209664200</v>
      </c>
      <c r="E490" s="333">
        <v>33.683775256269641</v>
      </c>
      <c r="F490" s="333">
        <v>73.370211641851299</v>
      </c>
      <c r="G490" s="111"/>
    </row>
    <row r="491" spans="1:7" ht="20.100000000000001" customHeight="1" x14ac:dyDescent="0.25">
      <c r="A491" s="222"/>
      <c r="B491" s="118" t="s">
        <v>1503</v>
      </c>
      <c r="C491" s="614">
        <v>180000000</v>
      </c>
      <c r="D491" s="805">
        <v>180000000</v>
      </c>
      <c r="E491" s="379">
        <v>100</v>
      </c>
      <c r="F491" s="379">
        <v>100</v>
      </c>
      <c r="G491" s="111"/>
    </row>
    <row r="492" spans="1:7" ht="20.100000000000001" customHeight="1" x14ac:dyDescent="0.25">
      <c r="A492" s="222"/>
      <c r="B492" s="118" t="s">
        <v>1504</v>
      </c>
      <c r="C492" s="614">
        <v>411237000</v>
      </c>
      <c r="D492" s="805">
        <v>408837000</v>
      </c>
      <c r="E492" s="379">
        <v>99.416394925553874</v>
      </c>
      <c r="F492" s="379">
        <v>99.416394925553874</v>
      </c>
      <c r="G492" s="111"/>
    </row>
    <row r="493" spans="1:7" ht="20.100000000000001" customHeight="1" x14ac:dyDescent="0.25">
      <c r="A493" s="222"/>
      <c r="B493" s="118" t="s">
        <v>1505</v>
      </c>
      <c r="C493" s="614">
        <v>3000000000</v>
      </c>
      <c r="D493" s="805">
        <v>620827200</v>
      </c>
      <c r="E493" s="379">
        <v>20.694240000000001</v>
      </c>
      <c r="F493" s="379">
        <v>20.694240000000001</v>
      </c>
      <c r="G493" s="111"/>
    </row>
    <row r="494" spans="1:7" ht="20.100000000000001" customHeight="1" x14ac:dyDescent="0.25">
      <c r="A494" s="222"/>
      <c r="B494" s="121" t="s">
        <v>680</v>
      </c>
      <c r="C494" s="606">
        <f>SUM(C495:C503)</f>
        <v>17964763000</v>
      </c>
      <c r="D494" s="804">
        <v>14329522800</v>
      </c>
      <c r="E494" s="333">
        <v>79.764608083056814</v>
      </c>
      <c r="F494" s="333">
        <v>78.911993551125505</v>
      </c>
      <c r="G494" s="111"/>
    </row>
    <row r="495" spans="1:7" ht="20.100000000000001" customHeight="1" x14ac:dyDescent="0.25">
      <c r="A495" s="222"/>
      <c r="B495" s="118" t="s">
        <v>1506</v>
      </c>
      <c r="C495" s="614">
        <v>4320000000</v>
      </c>
      <c r="D495" s="805">
        <v>3741000000</v>
      </c>
      <c r="E495" s="379">
        <v>86.597222222222229</v>
      </c>
      <c r="F495" s="379">
        <v>86.597222222222229</v>
      </c>
      <c r="G495" s="111"/>
    </row>
    <row r="496" spans="1:7" ht="20.100000000000001" customHeight="1" x14ac:dyDescent="0.25">
      <c r="A496" s="222"/>
      <c r="B496" s="118" t="s">
        <v>1507</v>
      </c>
      <c r="C496" s="614">
        <v>2625000000</v>
      </c>
      <c r="D496" s="805">
        <v>2589102000</v>
      </c>
      <c r="E496" s="379">
        <v>98.632457142857149</v>
      </c>
      <c r="F496" s="379">
        <v>98.632457142857149</v>
      </c>
      <c r="G496" s="111"/>
    </row>
    <row r="497" spans="1:7" ht="20.100000000000001" customHeight="1" x14ac:dyDescent="0.25">
      <c r="A497" s="222"/>
      <c r="B497" s="118" t="s">
        <v>1508</v>
      </c>
      <c r="C497" s="614">
        <v>4088763000</v>
      </c>
      <c r="D497" s="805">
        <v>1497305800</v>
      </c>
      <c r="E497" s="379">
        <v>36.620019306572672</v>
      </c>
      <c r="F497" s="379">
        <v>36.620019306572672</v>
      </c>
      <c r="G497" s="111"/>
    </row>
    <row r="498" spans="1:7" ht="20.100000000000001" customHeight="1" x14ac:dyDescent="0.25">
      <c r="A498" s="222"/>
      <c r="B498" s="118" t="s">
        <v>1509</v>
      </c>
      <c r="C498" s="614">
        <v>1919000000</v>
      </c>
      <c r="D498" s="805">
        <v>1861562000</v>
      </c>
      <c r="E498" s="379">
        <v>97.006878582595107</v>
      </c>
      <c r="F498" s="379">
        <v>97.006878582595107</v>
      </c>
      <c r="G498" s="111"/>
    </row>
    <row r="499" spans="1:7" ht="20.100000000000001" customHeight="1" x14ac:dyDescent="0.25">
      <c r="A499" s="222"/>
      <c r="B499" s="118" t="s">
        <v>1510</v>
      </c>
      <c r="C499" s="614">
        <v>500000000</v>
      </c>
      <c r="D499" s="805">
        <v>497048000</v>
      </c>
      <c r="E499" s="379">
        <v>99.409599999999998</v>
      </c>
      <c r="F499" s="379">
        <v>99.409599999999998</v>
      </c>
      <c r="G499" s="111"/>
    </row>
    <row r="500" spans="1:7" ht="20.100000000000001" customHeight="1" x14ac:dyDescent="0.25">
      <c r="A500" s="222"/>
      <c r="B500" s="118" t="s">
        <v>1511</v>
      </c>
      <c r="C500" s="614">
        <v>2592000000</v>
      </c>
      <c r="D500" s="805">
        <v>2592000000</v>
      </c>
      <c r="E500" s="379">
        <v>100</v>
      </c>
      <c r="F500" s="379">
        <v>100</v>
      </c>
      <c r="G500" s="111"/>
    </row>
    <row r="501" spans="1:7" ht="20.100000000000001" customHeight="1" x14ac:dyDescent="0.25">
      <c r="A501" s="222"/>
      <c r="B501" s="118" t="s">
        <v>1512</v>
      </c>
      <c r="C501" s="614">
        <v>300000000</v>
      </c>
      <c r="D501" s="805">
        <v>0</v>
      </c>
      <c r="E501" s="379">
        <v>0</v>
      </c>
      <c r="F501" s="379">
        <v>0</v>
      </c>
      <c r="G501" s="111"/>
    </row>
    <row r="502" spans="1:7" ht="20.100000000000001" customHeight="1" x14ac:dyDescent="0.25">
      <c r="A502" s="222"/>
      <c r="B502" s="118" t="s">
        <v>1513</v>
      </c>
      <c r="C502" s="614">
        <v>850000000</v>
      </c>
      <c r="D502" s="805">
        <v>781505000</v>
      </c>
      <c r="E502" s="379">
        <v>91.941764705882349</v>
      </c>
      <c r="F502" s="379">
        <v>91.941764705882349</v>
      </c>
      <c r="G502" s="111"/>
    </row>
    <row r="503" spans="1:7" ht="20.100000000000001" customHeight="1" x14ac:dyDescent="0.25">
      <c r="A503" s="222"/>
      <c r="B503" s="118" t="s">
        <v>1514</v>
      </c>
      <c r="C503" s="614">
        <v>770000000</v>
      </c>
      <c r="D503" s="805">
        <v>770000000</v>
      </c>
      <c r="E503" s="379">
        <v>100</v>
      </c>
      <c r="F503" s="379">
        <v>100</v>
      </c>
      <c r="G503" s="111"/>
    </row>
    <row r="504" spans="1:7" ht="20.100000000000001" customHeight="1" x14ac:dyDescent="0.25">
      <c r="A504" s="222"/>
      <c r="B504" s="121" t="s">
        <v>693</v>
      </c>
      <c r="C504" s="606">
        <f>+C505</f>
        <v>1728000000</v>
      </c>
      <c r="D504" s="804">
        <v>1466240000</v>
      </c>
      <c r="E504" s="333">
        <v>84.851851851851862</v>
      </c>
      <c r="F504" s="333">
        <v>85</v>
      </c>
      <c r="G504" s="111"/>
    </row>
    <row r="505" spans="1:7" ht="20.100000000000001" customHeight="1" x14ac:dyDescent="0.25">
      <c r="A505" s="222"/>
      <c r="B505" s="118" t="s">
        <v>1515</v>
      </c>
      <c r="C505" s="614">
        <v>1728000000</v>
      </c>
      <c r="D505" s="805">
        <v>1466240000</v>
      </c>
      <c r="E505" s="379">
        <v>84.851851851851862</v>
      </c>
      <c r="F505" s="379">
        <v>85</v>
      </c>
      <c r="G505" s="111"/>
    </row>
    <row r="506" spans="1:7" ht="20.100000000000001" customHeight="1" x14ac:dyDescent="0.25">
      <c r="A506" s="222"/>
      <c r="B506" s="121" t="s">
        <v>92</v>
      </c>
      <c r="C506" s="606">
        <f>+C507</f>
        <v>100000000</v>
      </c>
      <c r="D506" s="804">
        <v>0</v>
      </c>
      <c r="E506" s="333">
        <v>0</v>
      </c>
      <c r="F506" s="333">
        <v>0</v>
      </c>
      <c r="G506" s="111"/>
    </row>
    <row r="507" spans="1:7" ht="25.5" customHeight="1" x14ac:dyDescent="0.25">
      <c r="A507" s="222"/>
      <c r="B507" s="118" t="s">
        <v>1516</v>
      </c>
      <c r="C507" s="614">
        <v>100000000</v>
      </c>
      <c r="D507" s="805">
        <v>0</v>
      </c>
      <c r="E507" s="379">
        <v>0</v>
      </c>
      <c r="F507" s="379">
        <v>0</v>
      </c>
      <c r="G507" s="111"/>
    </row>
    <row r="508" spans="1:7" ht="20.100000000000001" customHeight="1" x14ac:dyDescent="0.25">
      <c r="A508" s="222"/>
      <c r="B508" s="121" t="s">
        <v>109</v>
      </c>
      <c r="C508" s="606">
        <f>SUM(C509:C513)</f>
        <v>893955000</v>
      </c>
      <c r="D508" s="804">
        <v>267480000</v>
      </c>
      <c r="E508" s="333">
        <v>29.920969176300822</v>
      </c>
      <c r="F508" s="333">
        <v>33.460797799174692</v>
      </c>
      <c r="G508" s="111"/>
    </row>
    <row r="509" spans="1:7" ht="20.100000000000001" customHeight="1" x14ac:dyDescent="0.25">
      <c r="A509" s="222"/>
      <c r="B509" s="118" t="s">
        <v>1517</v>
      </c>
      <c r="C509" s="614">
        <v>307605000</v>
      </c>
      <c r="D509" s="805">
        <v>0</v>
      </c>
      <c r="E509" s="379">
        <v>0</v>
      </c>
      <c r="F509" s="379">
        <v>0</v>
      </c>
      <c r="G509" s="111"/>
    </row>
    <row r="510" spans="1:7" ht="20.100000000000001" customHeight="1" x14ac:dyDescent="0.25">
      <c r="A510" s="222"/>
      <c r="B510" s="118" t="s">
        <v>1518</v>
      </c>
      <c r="C510" s="614">
        <v>184450000</v>
      </c>
      <c r="D510" s="805">
        <v>0</v>
      </c>
      <c r="E510" s="379">
        <v>0</v>
      </c>
      <c r="F510" s="379">
        <v>0</v>
      </c>
      <c r="G510" s="111"/>
    </row>
    <row r="511" spans="1:7" ht="20.100000000000001" customHeight="1" x14ac:dyDescent="0.25">
      <c r="A511" s="222"/>
      <c r="B511" s="118" t="s">
        <v>1519</v>
      </c>
      <c r="C511" s="614">
        <v>76500000</v>
      </c>
      <c r="D511" s="805">
        <v>0</v>
      </c>
      <c r="E511" s="379">
        <v>0</v>
      </c>
      <c r="F511" s="379">
        <v>0</v>
      </c>
      <c r="G511" s="111"/>
    </row>
    <row r="512" spans="1:7" ht="20.100000000000001" customHeight="1" x14ac:dyDescent="0.25">
      <c r="A512" s="222"/>
      <c r="B512" s="118" t="s">
        <v>1520</v>
      </c>
      <c r="C512" s="614">
        <v>180000000</v>
      </c>
      <c r="D512" s="805">
        <v>126000000</v>
      </c>
      <c r="E512" s="379">
        <v>70</v>
      </c>
      <c r="F512" s="379">
        <v>70</v>
      </c>
      <c r="G512" s="111"/>
    </row>
    <row r="513" spans="1:7" ht="27.75" customHeight="1" x14ac:dyDescent="0.25">
      <c r="A513" s="222"/>
      <c r="B513" s="118" t="s">
        <v>1521</v>
      </c>
      <c r="C513" s="614">
        <v>145400000</v>
      </c>
      <c r="D513" s="805">
        <v>141480000</v>
      </c>
      <c r="E513" s="379">
        <v>97.303988995873453</v>
      </c>
      <c r="F513" s="379">
        <v>97.303988995873453</v>
      </c>
      <c r="G513" s="111"/>
    </row>
    <row r="514" spans="1:7" ht="9.9499999999999993" customHeight="1" x14ac:dyDescent="0.25">
      <c r="A514" s="222"/>
      <c r="B514" s="118"/>
      <c r="C514" s="614"/>
      <c r="D514" s="778"/>
      <c r="E514" s="117"/>
      <c r="F514" s="117"/>
      <c r="G514" s="111"/>
    </row>
    <row r="515" spans="1:7" ht="20.100000000000001" customHeight="1" x14ac:dyDescent="0.25">
      <c r="A515" s="222"/>
      <c r="B515" s="121" t="s">
        <v>1522</v>
      </c>
      <c r="C515" s="606">
        <f>+C516+C524</f>
        <v>3168302900</v>
      </c>
      <c r="D515" s="804">
        <v>2841966200</v>
      </c>
      <c r="E515" s="333">
        <v>89.699952615010389</v>
      </c>
      <c r="F515" s="333">
        <v>90</v>
      </c>
      <c r="G515" s="111"/>
    </row>
    <row r="516" spans="1:7" ht="20.100000000000001" customHeight="1" x14ac:dyDescent="0.25">
      <c r="A516" s="222"/>
      <c r="B516" s="121" t="s">
        <v>797</v>
      </c>
      <c r="C516" s="606">
        <f>SUM(C517:C523)</f>
        <v>2044106200</v>
      </c>
      <c r="D516" s="804">
        <v>1944006200</v>
      </c>
      <c r="E516" s="333">
        <v>95.102994159501108</v>
      </c>
      <c r="F516" s="333">
        <v>100</v>
      </c>
      <c r="G516" s="111"/>
    </row>
    <row r="517" spans="1:7" ht="20.100000000000001" customHeight="1" x14ac:dyDescent="0.25">
      <c r="A517" s="222"/>
      <c r="B517" s="118" t="s">
        <v>1523</v>
      </c>
      <c r="C517" s="614">
        <v>523300000</v>
      </c>
      <c r="D517" s="805">
        <v>523300000</v>
      </c>
      <c r="E517" s="379">
        <v>100</v>
      </c>
      <c r="F517" s="379">
        <v>100</v>
      </c>
      <c r="G517" s="111"/>
    </row>
    <row r="518" spans="1:7" ht="20.100000000000001" customHeight="1" x14ac:dyDescent="0.25">
      <c r="A518" s="222"/>
      <c r="B518" s="118" t="s">
        <v>1524</v>
      </c>
      <c r="C518" s="614">
        <v>398056200</v>
      </c>
      <c r="D518" s="805">
        <v>398056200</v>
      </c>
      <c r="E518" s="379">
        <v>100</v>
      </c>
      <c r="F518" s="379">
        <v>100</v>
      </c>
      <c r="G518" s="111"/>
    </row>
    <row r="519" spans="1:7" ht="20.100000000000001" customHeight="1" x14ac:dyDescent="0.25">
      <c r="A519" s="222"/>
      <c r="B519" s="118" t="s">
        <v>1525</v>
      </c>
      <c r="C519" s="614">
        <v>100000000</v>
      </c>
      <c r="D519" s="805">
        <v>100000000</v>
      </c>
      <c r="E519" s="379">
        <v>100</v>
      </c>
      <c r="F519" s="379">
        <v>100</v>
      </c>
      <c r="G519" s="111"/>
    </row>
    <row r="520" spans="1:7" ht="20.100000000000001" customHeight="1" x14ac:dyDescent="0.25">
      <c r="A520" s="222"/>
      <c r="B520" s="118" t="s">
        <v>1526</v>
      </c>
      <c r="C520" s="614">
        <v>100000000</v>
      </c>
      <c r="D520" s="805">
        <v>0</v>
      </c>
      <c r="E520" s="379">
        <v>0</v>
      </c>
      <c r="F520" s="379">
        <v>0</v>
      </c>
      <c r="G520" s="111"/>
    </row>
    <row r="521" spans="1:7" ht="20.100000000000001" customHeight="1" x14ac:dyDescent="0.25">
      <c r="A521" s="222"/>
      <c r="B521" s="118" t="s">
        <v>1527</v>
      </c>
      <c r="C521" s="614">
        <v>272050000</v>
      </c>
      <c r="D521" s="805">
        <v>272050000</v>
      </c>
      <c r="E521" s="379">
        <v>100</v>
      </c>
      <c r="F521" s="379">
        <v>100</v>
      </c>
      <c r="G521" s="111"/>
    </row>
    <row r="522" spans="1:7" ht="20.100000000000001" customHeight="1" x14ac:dyDescent="0.25">
      <c r="A522" s="222"/>
      <c r="B522" s="118" t="s">
        <v>1528</v>
      </c>
      <c r="C522" s="614">
        <v>350700000</v>
      </c>
      <c r="D522" s="805">
        <v>350600000</v>
      </c>
      <c r="E522" s="379">
        <v>99.971485600228121</v>
      </c>
      <c r="F522" s="379">
        <v>100</v>
      </c>
      <c r="G522" s="111"/>
    </row>
    <row r="523" spans="1:7" ht="20.100000000000001" customHeight="1" x14ac:dyDescent="0.25">
      <c r="A523" s="222"/>
      <c r="B523" s="118" t="s">
        <v>1529</v>
      </c>
      <c r="C523" s="614">
        <v>300000000</v>
      </c>
      <c r="D523" s="805">
        <v>300000000</v>
      </c>
      <c r="E523" s="379">
        <v>100</v>
      </c>
      <c r="F523" s="379">
        <v>100</v>
      </c>
      <c r="G523" s="111"/>
    </row>
    <row r="524" spans="1:7" ht="20.100000000000001" customHeight="1" x14ac:dyDescent="0.25">
      <c r="A524" s="222"/>
      <c r="B524" s="121" t="s">
        <v>92</v>
      </c>
      <c r="C524" s="606">
        <f>SUM(C525:C529)</f>
        <v>1124196700</v>
      </c>
      <c r="D524" s="804">
        <v>897960000</v>
      </c>
      <c r="E524" s="333">
        <v>79.875701467545667</v>
      </c>
      <c r="F524" s="333">
        <v>80</v>
      </c>
      <c r="G524" s="111"/>
    </row>
    <row r="525" spans="1:7" ht="20.100000000000001" customHeight="1" x14ac:dyDescent="0.25">
      <c r="A525" s="222"/>
      <c r="B525" s="118" t="s">
        <v>1530</v>
      </c>
      <c r="C525" s="614">
        <v>174431700</v>
      </c>
      <c r="D525" s="805">
        <v>60200000</v>
      </c>
      <c r="E525" s="379">
        <v>34.512075500038122</v>
      </c>
      <c r="F525" s="379">
        <v>50</v>
      </c>
      <c r="G525" s="111"/>
    </row>
    <row r="526" spans="1:7" ht="20.100000000000001" customHeight="1" x14ac:dyDescent="0.25">
      <c r="A526" s="222"/>
      <c r="B526" s="118" t="s">
        <v>1531</v>
      </c>
      <c r="C526" s="614">
        <v>250000000</v>
      </c>
      <c r="D526" s="805">
        <v>250000000</v>
      </c>
      <c r="E526" s="379">
        <v>100</v>
      </c>
      <c r="F526" s="379">
        <v>100</v>
      </c>
      <c r="G526" s="111"/>
    </row>
    <row r="527" spans="1:7" ht="20.100000000000001" customHeight="1" x14ac:dyDescent="0.25">
      <c r="A527" s="222"/>
      <c r="B527" s="118" t="s">
        <v>1532</v>
      </c>
      <c r="C527" s="614">
        <v>400000000</v>
      </c>
      <c r="D527" s="805">
        <v>397875000</v>
      </c>
      <c r="E527" s="379">
        <v>99.46875</v>
      </c>
      <c r="F527" s="379">
        <v>100</v>
      </c>
      <c r="G527" s="111"/>
    </row>
    <row r="528" spans="1:7" ht="30.75" customHeight="1" x14ac:dyDescent="0.25">
      <c r="A528" s="222"/>
      <c r="B528" s="118" t="s">
        <v>1533</v>
      </c>
      <c r="C528" s="614">
        <v>198080000</v>
      </c>
      <c r="D528" s="805">
        <v>88200000</v>
      </c>
      <c r="E528" s="379">
        <v>44.527463651050084</v>
      </c>
      <c r="F528" s="379">
        <v>50</v>
      </c>
      <c r="G528" s="111"/>
    </row>
    <row r="529" spans="1:7" ht="20.100000000000001" customHeight="1" x14ac:dyDescent="0.25">
      <c r="A529" s="222"/>
      <c r="B529" s="118" t="s">
        <v>1534</v>
      </c>
      <c r="C529" s="614">
        <v>101685000</v>
      </c>
      <c r="D529" s="805">
        <v>101685000</v>
      </c>
      <c r="E529" s="379">
        <v>100</v>
      </c>
      <c r="F529" s="379">
        <v>100</v>
      </c>
      <c r="G529" s="111"/>
    </row>
    <row r="530" spans="1:7" ht="9.9499999999999993" customHeight="1" x14ac:dyDescent="0.25">
      <c r="A530" s="159"/>
      <c r="B530" s="111"/>
      <c r="C530" s="582"/>
      <c r="D530" s="778"/>
      <c r="E530" s="117"/>
      <c r="F530" s="117"/>
      <c r="G530" s="111"/>
    </row>
    <row r="531" spans="1:7" ht="20.100000000000001" customHeight="1" x14ac:dyDescent="0.25">
      <c r="A531" s="159"/>
      <c r="B531" s="121" t="s">
        <v>1627</v>
      </c>
      <c r="C531" s="125">
        <v>2585000000</v>
      </c>
      <c r="D531" s="806">
        <v>2405000000</v>
      </c>
      <c r="E531" s="333">
        <v>93.03675048355899</v>
      </c>
      <c r="F531" s="333">
        <v>93.03675048355899</v>
      </c>
      <c r="G531" s="111"/>
    </row>
    <row r="532" spans="1:7" ht="20.100000000000001" customHeight="1" x14ac:dyDescent="0.25">
      <c r="A532" s="159"/>
      <c r="B532" s="121" t="s">
        <v>1628</v>
      </c>
      <c r="C532" s="125">
        <v>2585000000</v>
      </c>
      <c r="D532" s="806">
        <v>2405000000</v>
      </c>
      <c r="E532" s="333">
        <v>93.03675048355899</v>
      </c>
      <c r="F532" s="333">
        <v>93.03675048355899</v>
      </c>
      <c r="G532" s="111"/>
    </row>
    <row r="533" spans="1:7" ht="20.100000000000001" customHeight="1" x14ac:dyDescent="0.25">
      <c r="A533" s="159"/>
      <c r="B533" s="118" t="s">
        <v>1629</v>
      </c>
      <c r="C533" s="582">
        <v>2585000000</v>
      </c>
      <c r="D533" s="807">
        <v>2405000000</v>
      </c>
      <c r="E533" s="379">
        <v>93.03675048355899</v>
      </c>
      <c r="F533" s="379">
        <v>93.03675048355899</v>
      </c>
      <c r="G533" s="111"/>
    </row>
    <row r="534" spans="1:7" ht="9.9499999999999993" customHeight="1" x14ac:dyDescent="0.25">
      <c r="A534" s="159"/>
      <c r="B534" s="111"/>
      <c r="C534" s="582"/>
      <c r="D534" s="778"/>
      <c r="E534" s="117"/>
      <c r="F534" s="117"/>
      <c r="G534" s="111"/>
    </row>
    <row r="535" spans="1:7" ht="20.100000000000001" customHeight="1" x14ac:dyDescent="0.25">
      <c r="A535" s="222" t="s">
        <v>1673</v>
      </c>
      <c r="B535" s="255" t="s">
        <v>4006</v>
      </c>
      <c r="C535" s="595">
        <f>C536+C587</f>
        <v>34667925900</v>
      </c>
      <c r="D535" s="779">
        <f>+D536+D588</f>
        <v>7888811500</v>
      </c>
      <c r="E535" s="114">
        <f>+D535/C535*100</f>
        <v>22.755360452642481</v>
      </c>
      <c r="F535" s="114">
        <f>(F536+F587)/2</f>
        <v>47.527988801146059</v>
      </c>
      <c r="G535" s="111"/>
    </row>
    <row r="536" spans="1:7" ht="20.100000000000001" customHeight="1" x14ac:dyDescent="0.25">
      <c r="A536" s="222"/>
      <c r="B536" s="217" t="s">
        <v>82</v>
      </c>
      <c r="C536" s="615">
        <f>C537+C549+C565+C569+C574+C579+C584</f>
        <v>17933925900</v>
      </c>
      <c r="D536" s="808">
        <f>D537+D549+D565+D569+D574+D579+D584</f>
        <v>7188811500</v>
      </c>
      <c r="E536" s="331">
        <f t="shared" ref="E536:E585" si="52">+D536/C536*100</f>
        <v>40.084984961379817</v>
      </c>
      <c r="F536" s="114">
        <f>(F537+F549+F565+F569+F574+F579+F584)/8</f>
        <v>60.11946966578418</v>
      </c>
      <c r="G536" s="111"/>
    </row>
    <row r="537" spans="1:7" ht="20.100000000000001" customHeight="1" x14ac:dyDescent="0.25">
      <c r="A537" s="222"/>
      <c r="B537" s="217" t="s">
        <v>797</v>
      </c>
      <c r="C537" s="615">
        <f>SUM(C538:C548)</f>
        <v>3692200000</v>
      </c>
      <c r="D537" s="808">
        <f>SUM(D538:D548)</f>
        <v>1614890500</v>
      </c>
      <c r="E537" s="331">
        <f t="shared" si="52"/>
        <v>43.73789339689074</v>
      </c>
      <c r="F537" s="114">
        <v>63.73789339689074</v>
      </c>
      <c r="G537" s="111"/>
    </row>
    <row r="538" spans="1:7" ht="20.100000000000001" customHeight="1" x14ac:dyDescent="0.25">
      <c r="A538" s="222"/>
      <c r="B538" s="119" t="s">
        <v>1675</v>
      </c>
      <c r="C538" s="616">
        <v>450000000</v>
      </c>
      <c r="D538" s="809">
        <v>133050500</v>
      </c>
      <c r="E538" s="365">
        <f t="shared" si="52"/>
        <v>29.566777777777776</v>
      </c>
      <c r="F538" s="114">
        <v>49.566777777777773</v>
      </c>
      <c r="G538" s="111"/>
    </row>
    <row r="539" spans="1:7" ht="20.100000000000001" customHeight="1" x14ac:dyDescent="0.25">
      <c r="A539" s="222"/>
      <c r="B539" s="119" t="s">
        <v>1676</v>
      </c>
      <c r="C539" s="616">
        <v>768000000</v>
      </c>
      <c r="D539" s="810">
        <v>768000000</v>
      </c>
      <c r="E539" s="365">
        <f t="shared" si="52"/>
        <v>100</v>
      </c>
      <c r="F539" s="114">
        <v>100</v>
      </c>
      <c r="G539" s="111"/>
    </row>
    <row r="540" spans="1:7" ht="20.100000000000001" customHeight="1" x14ac:dyDescent="0.25">
      <c r="A540" s="390"/>
      <c r="B540" s="119" t="s">
        <v>1677</v>
      </c>
      <c r="C540" s="616">
        <v>100000000</v>
      </c>
      <c r="D540" s="809">
        <v>9000000</v>
      </c>
      <c r="E540" s="365">
        <f t="shared" si="52"/>
        <v>9</v>
      </c>
      <c r="F540" s="114">
        <v>29</v>
      </c>
      <c r="G540" s="111"/>
    </row>
    <row r="541" spans="1:7" ht="20.100000000000001" customHeight="1" x14ac:dyDescent="0.25">
      <c r="A541" s="222"/>
      <c r="B541" s="119" t="s">
        <v>1678</v>
      </c>
      <c r="C541" s="616">
        <v>270000000</v>
      </c>
      <c r="D541" s="810">
        <v>270000000</v>
      </c>
      <c r="E541" s="365">
        <f t="shared" si="52"/>
        <v>100</v>
      </c>
      <c r="F541" s="114">
        <v>100</v>
      </c>
      <c r="G541" s="111"/>
    </row>
    <row r="542" spans="1:7" ht="20.100000000000001" customHeight="1" x14ac:dyDescent="0.25">
      <c r="A542" s="222"/>
      <c r="B542" s="119" t="s">
        <v>1679</v>
      </c>
      <c r="C542" s="616">
        <v>384000000</v>
      </c>
      <c r="D542" s="809">
        <v>0</v>
      </c>
      <c r="E542" s="365">
        <f t="shared" si="52"/>
        <v>0</v>
      </c>
      <c r="F542" s="114"/>
      <c r="G542" s="111"/>
    </row>
    <row r="543" spans="1:7" ht="20.100000000000001" customHeight="1" x14ac:dyDescent="0.25">
      <c r="A543" s="222"/>
      <c r="B543" s="119" t="s">
        <v>1680</v>
      </c>
      <c r="C543" s="616">
        <v>300000000</v>
      </c>
      <c r="D543" s="809">
        <v>0</v>
      </c>
      <c r="E543" s="365">
        <f t="shared" si="52"/>
        <v>0</v>
      </c>
      <c r="F543" s="114"/>
      <c r="G543" s="111"/>
    </row>
    <row r="544" spans="1:7" ht="20.100000000000001" customHeight="1" x14ac:dyDescent="0.25">
      <c r="A544" s="222"/>
      <c r="B544" s="119" t="s">
        <v>1681</v>
      </c>
      <c r="C544" s="616">
        <v>200200000</v>
      </c>
      <c r="D544" s="809">
        <v>0</v>
      </c>
      <c r="E544" s="365">
        <f t="shared" si="52"/>
        <v>0</v>
      </c>
      <c r="F544" s="114"/>
      <c r="G544" s="111"/>
    </row>
    <row r="545" spans="1:7" ht="20.100000000000001" customHeight="1" x14ac:dyDescent="0.25">
      <c r="A545" s="222"/>
      <c r="B545" s="119" t="s">
        <v>1682</v>
      </c>
      <c r="C545" s="616">
        <v>400000000</v>
      </c>
      <c r="D545" s="809">
        <v>114840000</v>
      </c>
      <c r="E545" s="365">
        <f t="shared" si="52"/>
        <v>28.71</v>
      </c>
      <c r="F545" s="114">
        <v>48.71</v>
      </c>
      <c r="G545" s="111"/>
    </row>
    <row r="546" spans="1:7" ht="20.100000000000001" customHeight="1" x14ac:dyDescent="0.25">
      <c r="A546" s="222"/>
      <c r="B546" s="119" t="s">
        <v>1683</v>
      </c>
      <c r="C546" s="616">
        <v>100000000</v>
      </c>
      <c r="D546" s="809">
        <v>0</v>
      </c>
      <c r="E546" s="365">
        <f t="shared" si="52"/>
        <v>0</v>
      </c>
      <c r="F546" s="114"/>
      <c r="G546" s="111"/>
    </row>
    <row r="547" spans="1:7" ht="20.100000000000001" customHeight="1" x14ac:dyDescent="0.25">
      <c r="A547" s="222"/>
      <c r="B547" s="119" t="s">
        <v>1684</v>
      </c>
      <c r="C547" s="616">
        <v>400000000</v>
      </c>
      <c r="D547" s="809">
        <v>0</v>
      </c>
      <c r="E547" s="365">
        <f t="shared" si="52"/>
        <v>0</v>
      </c>
      <c r="F547" s="114"/>
      <c r="G547" s="111"/>
    </row>
    <row r="548" spans="1:7" ht="20.100000000000001" customHeight="1" x14ac:dyDescent="0.25">
      <c r="A548" s="222"/>
      <c r="B548" s="119" t="s">
        <v>1685</v>
      </c>
      <c r="C548" s="616">
        <v>320000000</v>
      </c>
      <c r="D548" s="809">
        <v>320000000</v>
      </c>
      <c r="E548" s="365">
        <f t="shared" si="52"/>
        <v>100</v>
      </c>
      <c r="F548" s="114">
        <v>100</v>
      </c>
      <c r="G548" s="111"/>
    </row>
    <row r="549" spans="1:7" ht="20.100000000000001" customHeight="1" x14ac:dyDescent="0.25">
      <c r="A549" s="222"/>
      <c r="B549" s="249" t="s">
        <v>680</v>
      </c>
      <c r="C549" s="125">
        <f>SUM(C550:C564)</f>
        <v>10219725900</v>
      </c>
      <c r="D549" s="811">
        <f>SUM(D550:D564)</f>
        <v>3452511000</v>
      </c>
      <c r="E549" s="331">
        <f t="shared" si="52"/>
        <v>33.782814077234697</v>
      </c>
      <c r="F549" s="114">
        <v>53.782814077234697</v>
      </c>
      <c r="G549" s="111"/>
    </row>
    <row r="550" spans="1:7" ht="20.100000000000001" customHeight="1" x14ac:dyDescent="0.25">
      <c r="A550" s="222"/>
      <c r="B550" s="118" t="s">
        <v>1686</v>
      </c>
      <c r="C550" s="582">
        <v>28300000</v>
      </c>
      <c r="D550" s="809">
        <v>0</v>
      </c>
      <c r="E550" s="365">
        <f t="shared" si="52"/>
        <v>0</v>
      </c>
      <c r="F550" s="114"/>
      <c r="G550" s="111"/>
    </row>
    <row r="551" spans="1:7" ht="20.100000000000001" customHeight="1" x14ac:dyDescent="0.25">
      <c r="A551" s="222"/>
      <c r="B551" s="118" t="s">
        <v>1687</v>
      </c>
      <c r="C551" s="582">
        <v>840000000</v>
      </c>
      <c r="D551" s="809">
        <v>840000000</v>
      </c>
      <c r="E551" s="365">
        <f t="shared" si="52"/>
        <v>100</v>
      </c>
      <c r="F551" s="114">
        <v>100</v>
      </c>
      <c r="G551" s="111"/>
    </row>
    <row r="552" spans="1:7" ht="28.5" customHeight="1" x14ac:dyDescent="0.25">
      <c r="A552" s="222"/>
      <c r="B552" s="118" t="s">
        <v>1688</v>
      </c>
      <c r="C552" s="582">
        <v>720000000</v>
      </c>
      <c r="D552" s="793">
        <v>0</v>
      </c>
      <c r="E552" s="365">
        <f t="shared" si="52"/>
        <v>0</v>
      </c>
      <c r="F552" s="114"/>
      <c r="G552" s="111"/>
    </row>
    <row r="553" spans="1:7" ht="28.5" customHeight="1" x14ac:dyDescent="0.25">
      <c r="A553" s="222"/>
      <c r="B553" s="118" t="s">
        <v>1689</v>
      </c>
      <c r="C553" s="582">
        <v>560000000</v>
      </c>
      <c r="D553" s="809">
        <v>0</v>
      </c>
      <c r="E553" s="365">
        <f t="shared" si="52"/>
        <v>0</v>
      </c>
      <c r="F553" s="114"/>
      <c r="G553" s="111"/>
    </row>
    <row r="554" spans="1:7" ht="20.100000000000001" customHeight="1" x14ac:dyDescent="0.25">
      <c r="A554" s="222"/>
      <c r="B554" s="118" t="s">
        <v>1690</v>
      </c>
      <c r="C554" s="582">
        <v>600000000</v>
      </c>
      <c r="D554" s="809">
        <v>23990000</v>
      </c>
      <c r="E554" s="365">
        <f t="shared" si="52"/>
        <v>3.9983333333333335</v>
      </c>
      <c r="F554" s="114">
        <v>23.998333333333335</v>
      </c>
      <c r="G554" s="111"/>
    </row>
    <row r="555" spans="1:7" ht="20.100000000000001" customHeight="1" x14ac:dyDescent="0.25">
      <c r="A555" s="222"/>
      <c r="B555" s="118" t="s">
        <v>1678</v>
      </c>
      <c r="C555" s="582">
        <v>780000000</v>
      </c>
      <c r="D555" s="809">
        <v>0</v>
      </c>
      <c r="E555" s="365">
        <f t="shared" si="52"/>
        <v>0</v>
      </c>
      <c r="F555" s="114"/>
      <c r="G555" s="111"/>
    </row>
    <row r="556" spans="1:7" ht="20.100000000000001" customHeight="1" x14ac:dyDescent="0.25">
      <c r="A556" s="222"/>
      <c r="B556" s="118" t="s">
        <v>1691</v>
      </c>
      <c r="C556" s="582">
        <v>2580000000</v>
      </c>
      <c r="D556" s="809">
        <v>1440000000</v>
      </c>
      <c r="E556" s="365">
        <f t="shared" si="52"/>
        <v>55.813953488372093</v>
      </c>
      <c r="F556" s="114">
        <v>75.813953488372093</v>
      </c>
      <c r="G556" s="111"/>
    </row>
    <row r="557" spans="1:7" ht="20.100000000000001" customHeight="1" x14ac:dyDescent="0.25">
      <c r="A557" s="390"/>
      <c r="B557" s="118" t="s">
        <v>1692</v>
      </c>
      <c r="C557" s="582">
        <v>950000000</v>
      </c>
      <c r="D557" s="809">
        <v>0</v>
      </c>
      <c r="E557" s="365">
        <f t="shared" si="52"/>
        <v>0</v>
      </c>
      <c r="F557" s="114"/>
      <c r="G557" s="111"/>
    </row>
    <row r="558" spans="1:7" ht="20.100000000000001" customHeight="1" x14ac:dyDescent="0.25">
      <c r="A558" s="222"/>
      <c r="B558" s="118" t="s">
        <v>1693</v>
      </c>
      <c r="C558" s="582">
        <v>28300000</v>
      </c>
      <c r="D558" s="809">
        <v>0</v>
      </c>
      <c r="E558" s="365">
        <f t="shared" si="52"/>
        <v>0</v>
      </c>
      <c r="F558" s="114"/>
      <c r="G558" s="111"/>
    </row>
    <row r="559" spans="1:7" ht="20.100000000000001" customHeight="1" x14ac:dyDescent="0.25">
      <c r="A559" s="390"/>
      <c r="B559" s="118" t="s">
        <v>1694</v>
      </c>
      <c r="C559" s="582">
        <v>100000000</v>
      </c>
      <c r="D559" s="809">
        <v>0</v>
      </c>
      <c r="E559" s="365">
        <f t="shared" si="52"/>
        <v>0</v>
      </c>
      <c r="F559" s="114"/>
      <c r="G559" s="111"/>
    </row>
    <row r="560" spans="1:7" ht="20.100000000000001" customHeight="1" x14ac:dyDescent="0.25">
      <c r="A560" s="222"/>
      <c r="B560" s="118" t="s">
        <v>1695</v>
      </c>
      <c r="C560" s="582">
        <v>140000000</v>
      </c>
      <c r="D560" s="809">
        <v>0</v>
      </c>
      <c r="E560" s="365">
        <f t="shared" si="52"/>
        <v>0</v>
      </c>
      <c r="F560" s="114"/>
      <c r="G560" s="111"/>
    </row>
    <row r="561" spans="1:7" ht="28.5" customHeight="1" x14ac:dyDescent="0.25">
      <c r="A561" s="222"/>
      <c r="B561" s="118" t="s">
        <v>1696</v>
      </c>
      <c r="C561" s="582">
        <v>400400000</v>
      </c>
      <c r="D561" s="809">
        <v>400171000</v>
      </c>
      <c r="E561" s="365">
        <f t="shared" si="52"/>
        <v>99.942807192807194</v>
      </c>
      <c r="F561" s="114">
        <v>100</v>
      </c>
      <c r="G561" s="111"/>
    </row>
    <row r="562" spans="1:7" ht="20.100000000000001" customHeight="1" x14ac:dyDescent="0.25">
      <c r="A562" s="222"/>
      <c r="B562" s="118" t="s">
        <v>1697</v>
      </c>
      <c r="C562" s="582">
        <v>140000000</v>
      </c>
      <c r="D562" s="809"/>
      <c r="E562" s="365">
        <f t="shared" si="52"/>
        <v>0</v>
      </c>
      <c r="F562" s="114"/>
      <c r="G562" s="111"/>
    </row>
    <row r="563" spans="1:7" ht="20.100000000000001" customHeight="1" x14ac:dyDescent="0.25">
      <c r="A563" s="222"/>
      <c r="B563" s="118" t="s">
        <v>1698</v>
      </c>
      <c r="C563" s="582">
        <v>1002725900</v>
      </c>
      <c r="D563" s="809">
        <v>748350000</v>
      </c>
      <c r="E563" s="365">
        <f t="shared" si="52"/>
        <v>74.631561825619542</v>
      </c>
      <c r="F563" s="114">
        <v>94.631561825619542</v>
      </c>
      <c r="G563" s="111"/>
    </row>
    <row r="564" spans="1:7" ht="20.100000000000001" customHeight="1" x14ac:dyDescent="0.25">
      <c r="A564" s="222"/>
      <c r="B564" s="118" t="s">
        <v>1699</v>
      </c>
      <c r="C564" s="582">
        <v>1350000000</v>
      </c>
      <c r="D564" s="809"/>
      <c r="E564" s="365">
        <f t="shared" si="52"/>
        <v>0</v>
      </c>
      <c r="F564" s="114"/>
      <c r="G564" s="111"/>
    </row>
    <row r="565" spans="1:7" ht="20.100000000000001" customHeight="1" x14ac:dyDescent="0.25">
      <c r="A565" s="222"/>
      <c r="B565" s="249" t="s">
        <v>693</v>
      </c>
      <c r="C565" s="125">
        <f>SUM(C566:C568)</f>
        <v>600000000</v>
      </c>
      <c r="D565" s="811">
        <f>SUM(D566:D568)</f>
        <v>240000000</v>
      </c>
      <c r="E565" s="331">
        <f t="shared" si="52"/>
        <v>40</v>
      </c>
      <c r="F565" s="114">
        <v>60</v>
      </c>
      <c r="G565" s="111"/>
    </row>
    <row r="566" spans="1:7" ht="20.100000000000001" customHeight="1" x14ac:dyDescent="0.25">
      <c r="A566" s="222"/>
      <c r="B566" s="119" t="s">
        <v>1700</v>
      </c>
      <c r="C566" s="582">
        <v>300000000</v>
      </c>
      <c r="D566" s="809">
        <v>0</v>
      </c>
      <c r="E566" s="365">
        <f t="shared" si="52"/>
        <v>0</v>
      </c>
      <c r="F566" s="114"/>
      <c r="G566" s="111"/>
    </row>
    <row r="567" spans="1:7" ht="20.100000000000001" customHeight="1" x14ac:dyDescent="0.25">
      <c r="A567" s="222"/>
      <c r="B567" s="118" t="s">
        <v>1701</v>
      </c>
      <c r="C567" s="582">
        <v>240000000</v>
      </c>
      <c r="D567" s="793">
        <v>240000000</v>
      </c>
      <c r="E567" s="365">
        <f t="shared" si="52"/>
        <v>100</v>
      </c>
      <c r="F567" s="114">
        <v>100</v>
      </c>
      <c r="G567" s="111"/>
    </row>
    <row r="568" spans="1:7" ht="20.100000000000001" customHeight="1" x14ac:dyDescent="0.25">
      <c r="A568" s="222"/>
      <c r="B568" s="118" t="s">
        <v>1702</v>
      </c>
      <c r="C568" s="582">
        <v>60000000</v>
      </c>
      <c r="D568" s="809">
        <v>0</v>
      </c>
      <c r="E568" s="365">
        <f t="shared" si="52"/>
        <v>0</v>
      </c>
      <c r="F568" s="114"/>
      <c r="G568" s="111"/>
    </row>
    <row r="569" spans="1:7" ht="20.100000000000001" customHeight="1" x14ac:dyDescent="0.25">
      <c r="A569" s="222"/>
      <c r="B569" s="249" t="s">
        <v>92</v>
      </c>
      <c r="C569" s="125">
        <f>SUM(C570:C573)</f>
        <v>655000000</v>
      </c>
      <c r="D569" s="811">
        <f>SUM(D570:D573)</f>
        <v>349500000</v>
      </c>
      <c r="E569" s="331">
        <f t="shared" si="52"/>
        <v>53.358778625954194</v>
      </c>
      <c r="F569" s="114">
        <v>73.358778625954187</v>
      </c>
      <c r="G569" s="111"/>
    </row>
    <row r="570" spans="1:7" ht="20.100000000000001" customHeight="1" x14ac:dyDescent="0.25">
      <c r="A570" s="222"/>
      <c r="B570" s="118" t="s">
        <v>1703</v>
      </c>
      <c r="C570" s="582">
        <v>350000000</v>
      </c>
      <c r="D570" s="809">
        <v>349500000</v>
      </c>
      <c r="E570" s="365">
        <f t="shared" si="52"/>
        <v>99.857142857142861</v>
      </c>
      <c r="F570" s="114">
        <v>100</v>
      </c>
      <c r="G570" s="111"/>
    </row>
    <row r="571" spans="1:7" ht="20.100000000000001" customHeight="1" x14ac:dyDescent="0.25">
      <c r="A571" s="222"/>
      <c r="B571" s="118" t="s">
        <v>1704</v>
      </c>
      <c r="C571" s="582">
        <v>40000000</v>
      </c>
      <c r="D571" s="809">
        <v>0</v>
      </c>
      <c r="E571" s="365">
        <f t="shared" si="52"/>
        <v>0</v>
      </c>
      <c r="F571" s="114"/>
      <c r="G571" s="111"/>
    </row>
    <row r="572" spans="1:7" ht="28.5" customHeight="1" x14ac:dyDescent="0.25">
      <c r="A572" s="222"/>
      <c r="B572" s="118" t="s">
        <v>1705</v>
      </c>
      <c r="C572" s="582">
        <v>225000000</v>
      </c>
      <c r="D572" s="809">
        <v>0</v>
      </c>
      <c r="E572" s="365">
        <f t="shared" si="52"/>
        <v>0</v>
      </c>
      <c r="F572" s="114"/>
      <c r="G572" s="111"/>
    </row>
    <row r="573" spans="1:7" ht="30.75" customHeight="1" x14ac:dyDescent="0.25">
      <c r="A573" s="222"/>
      <c r="B573" s="118" t="s">
        <v>1706</v>
      </c>
      <c r="C573" s="582">
        <v>40000000</v>
      </c>
      <c r="D573" s="809">
        <v>0</v>
      </c>
      <c r="E573" s="365">
        <f t="shared" si="52"/>
        <v>0</v>
      </c>
      <c r="F573" s="114"/>
      <c r="G573" s="111"/>
    </row>
    <row r="574" spans="1:7" ht="20.100000000000001" customHeight="1" x14ac:dyDescent="0.25">
      <c r="A574" s="222"/>
      <c r="B574" s="121" t="s">
        <v>1707</v>
      </c>
      <c r="C574" s="125">
        <f>SUM(C575:C578)</f>
        <v>627000000</v>
      </c>
      <c r="D574" s="811">
        <f>SUM(D575:D578)</f>
        <v>180000000</v>
      </c>
      <c r="E574" s="331">
        <f t="shared" si="52"/>
        <v>28.708133971291865</v>
      </c>
      <c r="F574" s="114">
        <v>48.708133971291865</v>
      </c>
      <c r="G574" s="111"/>
    </row>
    <row r="575" spans="1:7" ht="20.100000000000001" customHeight="1" x14ac:dyDescent="0.25">
      <c r="A575" s="222"/>
      <c r="B575" s="118" t="s">
        <v>1708</v>
      </c>
      <c r="C575" s="582">
        <v>360000000</v>
      </c>
      <c r="D575" s="809">
        <v>180000000</v>
      </c>
      <c r="E575" s="365">
        <f t="shared" si="52"/>
        <v>50</v>
      </c>
      <c r="F575" s="114">
        <v>70</v>
      </c>
      <c r="G575" s="111"/>
    </row>
    <row r="576" spans="1:7" ht="20.100000000000001" customHeight="1" x14ac:dyDescent="0.25">
      <c r="A576" s="222"/>
      <c r="B576" s="111" t="s">
        <v>1709</v>
      </c>
      <c r="C576" s="582">
        <v>162000000</v>
      </c>
      <c r="D576" s="809">
        <v>0</v>
      </c>
      <c r="E576" s="365">
        <f t="shared" si="52"/>
        <v>0</v>
      </c>
      <c r="F576" s="114"/>
      <c r="G576" s="111"/>
    </row>
    <row r="577" spans="1:7" ht="20.100000000000001" customHeight="1" x14ac:dyDescent="0.25">
      <c r="A577" s="222"/>
      <c r="B577" s="111" t="s">
        <v>1710</v>
      </c>
      <c r="C577" s="582">
        <v>45000000</v>
      </c>
      <c r="D577" s="809">
        <v>0</v>
      </c>
      <c r="E577" s="365">
        <f t="shared" si="52"/>
        <v>0</v>
      </c>
      <c r="F577" s="114"/>
      <c r="G577" s="111"/>
    </row>
    <row r="578" spans="1:7" ht="20.100000000000001" customHeight="1" x14ac:dyDescent="0.25">
      <c r="A578" s="222"/>
      <c r="B578" s="118" t="s">
        <v>1711</v>
      </c>
      <c r="C578" s="582">
        <v>60000000</v>
      </c>
      <c r="D578" s="809">
        <v>0</v>
      </c>
      <c r="E578" s="365">
        <f t="shared" si="52"/>
        <v>0</v>
      </c>
      <c r="F578" s="114"/>
      <c r="G578" s="111"/>
    </row>
    <row r="579" spans="1:7" ht="20.100000000000001" customHeight="1" x14ac:dyDescent="0.25">
      <c r="A579" s="222"/>
      <c r="B579" s="121" t="s">
        <v>1712</v>
      </c>
      <c r="C579" s="125">
        <f>SUM(C580:C583)</f>
        <v>2040000000</v>
      </c>
      <c r="D579" s="811">
        <f>SUM(D580:D583)</f>
        <v>1251910000</v>
      </c>
      <c r="E579" s="331">
        <f t="shared" si="52"/>
        <v>61.368137254901953</v>
      </c>
      <c r="F579" s="114">
        <v>81.368137254901953</v>
      </c>
      <c r="G579" s="111"/>
    </row>
    <row r="580" spans="1:7" ht="20.100000000000001" customHeight="1" x14ac:dyDescent="0.25">
      <c r="A580" s="222"/>
      <c r="B580" s="118" t="s">
        <v>1713</v>
      </c>
      <c r="C580" s="582">
        <v>270000000</v>
      </c>
      <c r="D580" s="793">
        <v>270000000</v>
      </c>
      <c r="E580" s="365">
        <f t="shared" si="52"/>
        <v>100</v>
      </c>
      <c r="F580" s="114">
        <v>100</v>
      </c>
      <c r="G580" s="111"/>
    </row>
    <row r="581" spans="1:7" ht="20.100000000000001" customHeight="1" x14ac:dyDescent="0.25">
      <c r="A581" s="222"/>
      <c r="B581" s="119" t="s">
        <v>1714</v>
      </c>
      <c r="C581" s="582">
        <v>800000000</v>
      </c>
      <c r="D581" s="810">
        <v>143510000</v>
      </c>
      <c r="E581" s="365">
        <f t="shared" si="52"/>
        <v>17.938749999999999</v>
      </c>
      <c r="F581" s="114">
        <v>37.938749999999999</v>
      </c>
      <c r="G581" s="111"/>
    </row>
    <row r="582" spans="1:7" ht="28.5" customHeight="1" x14ac:dyDescent="0.25">
      <c r="A582" s="222"/>
      <c r="B582" s="118" t="s">
        <v>1696</v>
      </c>
      <c r="C582" s="582">
        <v>126000000</v>
      </c>
      <c r="D582" s="810">
        <v>0</v>
      </c>
      <c r="E582" s="365">
        <f t="shared" si="52"/>
        <v>0</v>
      </c>
      <c r="F582" s="114"/>
      <c r="G582" s="111"/>
    </row>
    <row r="583" spans="1:7" ht="20.100000000000001" customHeight="1" x14ac:dyDescent="0.25">
      <c r="A583" s="222"/>
      <c r="B583" s="118" t="s">
        <v>1715</v>
      </c>
      <c r="C583" s="582">
        <v>844000000</v>
      </c>
      <c r="D583" s="810">
        <v>838400000</v>
      </c>
      <c r="E583" s="365">
        <f t="shared" si="52"/>
        <v>99.33649289099526</v>
      </c>
      <c r="F583" s="114">
        <v>119.33649289099526</v>
      </c>
      <c r="G583" s="111"/>
    </row>
    <row r="584" spans="1:7" ht="20.100000000000001" customHeight="1" x14ac:dyDescent="0.25">
      <c r="A584" s="222"/>
      <c r="B584" s="121" t="s">
        <v>916</v>
      </c>
      <c r="C584" s="125">
        <f>C585</f>
        <v>100000000</v>
      </c>
      <c r="D584" s="811">
        <f>D585</f>
        <v>100000000</v>
      </c>
      <c r="E584" s="331">
        <f t="shared" si="52"/>
        <v>100</v>
      </c>
      <c r="F584" s="114">
        <v>100</v>
      </c>
      <c r="G584" s="111"/>
    </row>
    <row r="585" spans="1:7" ht="20.100000000000001" customHeight="1" x14ac:dyDescent="0.25">
      <c r="A585" s="222"/>
      <c r="B585" s="111" t="s">
        <v>1716</v>
      </c>
      <c r="C585" s="582">
        <v>100000000</v>
      </c>
      <c r="D585" s="810">
        <v>100000000</v>
      </c>
      <c r="E585" s="331">
        <f t="shared" si="52"/>
        <v>100</v>
      </c>
      <c r="F585" s="114">
        <v>100</v>
      </c>
      <c r="G585" s="111"/>
    </row>
    <row r="586" spans="1:7" ht="9.9499999999999993" customHeight="1" x14ac:dyDescent="0.25">
      <c r="A586" s="159"/>
      <c r="B586" s="111"/>
      <c r="C586" s="582"/>
      <c r="D586" s="778"/>
      <c r="E586" s="117"/>
      <c r="F586" s="114"/>
      <c r="G586" s="111"/>
    </row>
    <row r="587" spans="1:7" ht="20.100000000000001" customHeight="1" x14ac:dyDescent="0.25">
      <c r="A587" s="222"/>
      <c r="B587" s="48" t="s">
        <v>1809</v>
      </c>
      <c r="C587" s="617">
        <f>C588</f>
        <v>16734000000</v>
      </c>
      <c r="D587" s="779">
        <f>+D588+D598</f>
        <v>10175000000</v>
      </c>
      <c r="E587" s="114">
        <f>+D587/C587*100</f>
        <v>60.804350424285879</v>
      </c>
      <c r="F587" s="114">
        <f>(F588+F598)/2</f>
        <v>34.936507936507937</v>
      </c>
      <c r="G587" s="111"/>
    </row>
    <row r="588" spans="1:7" ht="20.100000000000001" customHeight="1" x14ac:dyDescent="0.25">
      <c r="A588" s="222"/>
      <c r="B588" s="121" t="s">
        <v>1810</v>
      </c>
      <c r="C588" s="125">
        <f>C589+C599</f>
        <v>16734000000</v>
      </c>
      <c r="D588" s="779">
        <f>+D589</f>
        <v>700000000</v>
      </c>
      <c r="E588" s="114">
        <f>+D588/C588*100</f>
        <v>4.1831002748894468</v>
      </c>
      <c r="F588" s="114">
        <f>SUM(F589:F597)/9</f>
        <v>36.944444444444443</v>
      </c>
      <c r="G588" s="111"/>
    </row>
    <row r="589" spans="1:7" ht="20.100000000000001" customHeight="1" x14ac:dyDescent="0.25">
      <c r="A589" s="222"/>
      <c r="B589" s="121" t="s">
        <v>1628</v>
      </c>
      <c r="C589" s="125">
        <f>SUM(C590:C597)</f>
        <v>1600000000</v>
      </c>
      <c r="D589" s="811">
        <f>SUM(D590:D597)</f>
        <v>700000000</v>
      </c>
      <c r="E589" s="297">
        <f>D589/C589*100</f>
        <v>43.75</v>
      </c>
      <c r="F589" s="114">
        <v>32.5</v>
      </c>
      <c r="G589" s="111"/>
    </row>
    <row r="590" spans="1:7" ht="20.100000000000001" customHeight="1" x14ac:dyDescent="0.25">
      <c r="A590" s="222"/>
      <c r="B590" s="111" t="s">
        <v>1816</v>
      </c>
      <c r="C590" s="582">
        <v>250000000</v>
      </c>
      <c r="D590" s="793">
        <v>250000000</v>
      </c>
      <c r="E590" s="276">
        <f>D590/C590*100</f>
        <v>100</v>
      </c>
      <c r="F590" s="114">
        <f>+E590</f>
        <v>100</v>
      </c>
      <c r="G590" s="111"/>
    </row>
    <row r="591" spans="1:7" ht="20.100000000000001" customHeight="1" x14ac:dyDescent="0.25">
      <c r="A591" s="222"/>
      <c r="B591" s="111" t="s">
        <v>1817</v>
      </c>
      <c r="C591" s="582">
        <v>250000000</v>
      </c>
      <c r="D591" s="793">
        <v>250000000</v>
      </c>
      <c r="E591" s="276">
        <f>D591/C591*100</f>
        <v>100</v>
      </c>
      <c r="F591" s="114">
        <f>+E591</f>
        <v>100</v>
      </c>
      <c r="G591" s="111"/>
    </row>
    <row r="592" spans="1:7" ht="20.100000000000001" customHeight="1" x14ac:dyDescent="0.25">
      <c r="A592" s="222"/>
      <c r="B592" s="111" t="s">
        <v>1818</v>
      </c>
      <c r="C592" s="582">
        <v>100000000</v>
      </c>
      <c r="D592" s="812">
        <v>0</v>
      </c>
      <c r="E592" s="276">
        <f>D592/C592*100</f>
        <v>0</v>
      </c>
      <c r="F592" s="114"/>
      <c r="G592" s="111"/>
    </row>
    <row r="593" spans="1:7" ht="20.100000000000001" customHeight="1" x14ac:dyDescent="0.25">
      <c r="A593" s="222"/>
      <c r="B593" s="111" t="s">
        <v>1819</v>
      </c>
      <c r="C593" s="582">
        <v>200000000</v>
      </c>
      <c r="D593" s="793">
        <v>200000000</v>
      </c>
      <c r="E593" s="276">
        <f>D593/C593*100</f>
        <v>100</v>
      </c>
      <c r="F593" s="114">
        <v>100</v>
      </c>
      <c r="G593" s="111"/>
    </row>
    <row r="594" spans="1:7" ht="20.100000000000001" customHeight="1" x14ac:dyDescent="0.25">
      <c r="A594" s="222"/>
      <c r="B594" s="111" t="s">
        <v>1820</v>
      </c>
      <c r="C594" s="582">
        <v>200000000</v>
      </c>
      <c r="D594" s="813"/>
      <c r="E594" s="117"/>
      <c r="F594" s="114"/>
      <c r="G594" s="111"/>
    </row>
    <row r="595" spans="1:7" ht="20.100000000000001" customHeight="1" x14ac:dyDescent="0.25">
      <c r="A595" s="222"/>
      <c r="B595" s="111" t="s">
        <v>1821</v>
      </c>
      <c r="C595" s="582">
        <v>100000000</v>
      </c>
      <c r="D595" s="813"/>
      <c r="E595" s="117"/>
      <c r="F595" s="114"/>
      <c r="G595" s="111"/>
    </row>
    <row r="596" spans="1:7" ht="20.100000000000001" customHeight="1" x14ac:dyDescent="0.25">
      <c r="A596" s="222"/>
      <c r="B596" s="111" t="s">
        <v>1822</v>
      </c>
      <c r="C596" s="582">
        <v>100000000</v>
      </c>
      <c r="D596" s="813"/>
      <c r="E596" s="117"/>
      <c r="F596" s="114"/>
      <c r="G596" s="111"/>
    </row>
    <row r="597" spans="1:7" ht="20.100000000000001" customHeight="1" x14ac:dyDescent="0.25">
      <c r="A597" s="222"/>
      <c r="B597" s="111" t="s">
        <v>1823</v>
      </c>
      <c r="C597" s="582">
        <v>400000000</v>
      </c>
      <c r="D597" s="813"/>
      <c r="E597" s="117"/>
      <c r="F597" s="114"/>
      <c r="G597" s="111"/>
    </row>
    <row r="598" spans="1:7" ht="20.100000000000001" customHeight="1" x14ac:dyDescent="0.25">
      <c r="A598" s="222"/>
      <c r="B598" s="121" t="s">
        <v>1831</v>
      </c>
      <c r="C598" s="125">
        <f>+C599</f>
        <v>15134000000</v>
      </c>
      <c r="D598" s="811">
        <f>D599</f>
        <v>9475000000</v>
      </c>
      <c r="E598" s="297">
        <f t="shared" ref="E598:E605" si="53">D598/C598*100</f>
        <v>62.607374124487912</v>
      </c>
      <c r="F598" s="114">
        <f>+F599</f>
        <v>32.928571428571431</v>
      </c>
      <c r="G598" s="111"/>
    </row>
    <row r="599" spans="1:7" ht="20.100000000000001" customHeight="1" x14ac:dyDescent="0.25">
      <c r="A599" s="222"/>
      <c r="B599" s="121" t="s">
        <v>1843</v>
      </c>
      <c r="C599" s="125">
        <f>SUM(C600:C614)</f>
        <v>15134000000</v>
      </c>
      <c r="D599" s="811">
        <f>SUM(D600:D614)</f>
        <v>9475000000</v>
      </c>
      <c r="E599" s="297">
        <f t="shared" si="53"/>
        <v>62.607374124487912</v>
      </c>
      <c r="F599" s="114">
        <f>SUM(F600:F614)/14</f>
        <v>32.928571428571431</v>
      </c>
      <c r="G599" s="111"/>
    </row>
    <row r="600" spans="1:7" ht="20.100000000000001" customHeight="1" x14ac:dyDescent="0.25">
      <c r="A600" s="222"/>
      <c r="B600" s="111" t="s">
        <v>1844</v>
      </c>
      <c r="C600" s="582">
        <v>7000000000</v>
      </c>
      <c r="D600" s="793">
        <v>7000000000</v>
      </c>
      <c r="E600" s="276">
        <f t="shared" si="53"/>
        <v>100</v>
      </c>
      <c r="F600" s="114">
        <f>+E600</f>
        <v>100</v>
      </c>
      <c r="G600" s="111"/>
    </row>
    <row r="601" spans="1:7" ht="20.100000000000001" customHeight="1" x14ac:dyDescent="0.25">
      <c r="A601" s="222"/>
      <c r="B601" s="111" t="s">
        <v>1845</v>
      </c>
      <c r="C601" s="582">
        <v>500000000</v>
      </c>
      <c r="D601" s="812">
        <v>105000000</v>
      </c>
      <c r="E601" s="276">
        <f t="shared" si="53"/>
        <v>21</v>
      </c>
      <c r="F601" s="114">
        <f>+E601</f>
        <v>21</v>
      </c>
      <c r="G601" s="111"/>
    </row>
    <row r="602" spans="1:7" ht="20.100000000000001" customHeight="1" x14ac:dyDescent="0.25">
      <c r="A602" s="222"/>
      <c r="B602" s="111" t="s">
        <v>1846</v>
      </c>
      <c r="C602" s="582">
        <v>500000000</v>
      </c>
      <c r="D602" s="812">
        <v>500000000</v>
      </c>
      <c r="E602" s="276">
        <f t="shared" si="53"/>
        <v>100</v>
      </c>
      <c r="F602" s="114">
        <f>+E602</f>
        <v>100</v>
      </c>
      <c r="G602" s="111"/>
    </row>
    <row r="603" spans="1:7" ht="20.100000000000001" customHeight="1" x14ac:dyDescent="0.25">
      <c r="A603" s="222"/>
      <c r="B603" s="111" t="s">
        <v>1847</v>
      </c>
      <c r="C603" s="582">
        <v>600000000</v>
      </c>
      <c r="D603" s="812">
        <v>450000000</v>
      </c>
      <c r="E603" s="276">
        <f t="shared" si="53"/>
        <v>75</v>
      </c>
      <c r="F603" s="114">
        <v>70</v>
      </c>
      <c r="G603" s="111"/>
    </row>
    <row r="604" spans="1:7" ht="20.100000000000001" customHeight="1" x14ac:dyDescent="0.25">
      <c r="A604" s="222"/>
      <c r="B604" s="111" t="s">
        <v>1848</v>
      </c>
      <c r="C604" s="582">
        <v>600000000</v>
      </c>
      <c r="D604" s="812">
        <v>420000000</v>
      </c>
      <c r="E604" s="276">
        <f t="shared" si="53"/>
        <v>70</v>
      </c>
      <c r="F604" s="114">
        <f>+E604</f>
        <v>70</v>
      </c>
      <c r="G604" s="111"/>
    </row>
    <row r="605" spans="1:7" ht="20.100000000000001" customHeight="1" x14ac:dyDescent="0.25">
      <c r="A605" s="222"/>
      <c r="B605" s="111" t="s">
        <v>1849</v>
      </c>
      <c r="C605" s="582">
        <v>1000000000</v>
      </c>
      <c r="D605" s="793">
        <v>1000000000</v>
      </c>
      <c r="E605" s="276">
        <f t="shared" si="53"/>
        <v>100</v>
      </c>
      <c r="F605" s="114">
        <f>+E605</f>
        <v>100</v>
      </c>
      <c r="G605" s="111"/>
    </row>
    <row r="606" spans="1:7" ht="20.100000000000001" customHeight="1" x14ac:dyDescent="0.25">
      <c r="A606" s="222"/>
      <c r="B606" s="111" t="s">
        <v>1850</v>
      </c>
      <c r="C606" s="582">
        <v>393600000</v>
      </c>
      <c r="D606" s="813"/>
      <c r="E606" s="117"/>
      <c r="F606" s="114"/>
      <c r="G606" s="111"/>
    </row>
    <row r="607" spans="1:7" ht="20.100000000000001" customHeight="1" x14ac:dyDescent="0.25">
      <c r="A607" s="222"/>
      <c r="B607" s="111" t="s">
        <v>1851</v>
      </c>
      <c r="C607" s="582">
        <v>235900000</v>
      </c>
      <c r="D607" s="813"/>
      <c r="E607" s="117"/>
      <c r="F607" s="114"/>
      <c r="G607" s="111"/>
    </row>
    <row r="608" spans="1:7" ht="20.100000000000001" customHeight="1" x14ac:dyDescent="0.25">
      <c r="A608" s="222"/>
      <c r="B608" s="111" t="s">
        <v>1852</v>
      </c>
      <c r="C608" s="582">
        <v>147600000</v>
      </c>
      <c r="D608" s="813"/>
      <c r="E608" s="117"/>
      <c r="F608" s="114"/>
      <c r="G608" s="111"/>
    </row>
    <row r="609" spans="1:7" ht="20.100000000000001" customHeight="1" x14ac:dyDescent="0.25">
      <c r="A609" s="222"/>
      <c r="B609" s="111" t="s">
        <v>1853</v>
      </c>
      <c r="C609" s="582">
        <v>1600000000</v>
      </c>
      <c r="D609" s="813"/>
      <c r="E609" s="117"/>
      <c r="F609" s="114"/>
      <c r="G609" s="111"/>
    </row>
    <row r="610" spans="1:7" ht="20.100000000000001" customHeight="1" x14ac:dyDescent="0.25">
      <c r="A610" s="222"/>
      <c r="B610" s="118" t="s">
        <v>1854</v>
      </c>
      <c r="C610" s="582">
        <v>200000000</v>
      </c>
      <c r="D610" s="813"/>
      <c r="E610" s="117"/>
      <c r="F610" s="114"/>
      <c r="G610" s="111"/>
    </row>
    <row r="611" spans="1:7" ht="20.100000000000001" customHeight="1" x14ac:dyDescent="0.25">
      <c r="A611" s="222"/>
      <c r="B611" s="118" t="s">
        <v>1855</v>
      </c>
      <c r="C611" s="582">
        <v>200000000</v>
      </c>
      <c r="D611" s="813"/>
      <c r="E611" s="117"/>
      <c r="F611" s="114"/>
      <c r="G611" s="111"/>
    </row>
    <row r="612" spans="1:7" ht="20.100000000000001" customHeight="1" x14ac:dyDescent="0.25">
      <c r="A612" s="390"/>
      <c r="B612" s="111" t="s">
        <v>1856</v>
      </c>
      <c r="C612" s="582">
        <v>1500000000</v>
      </c>
      <c r="D612" s="813"/>
      <c r="E612" s="117"/>
      <c r="F612" s="114"/>
      <c r="G612" s="111"/>
    </row>
    <row r="613" spans="1:7" ht="20.100000000000001" customHeight="1" x14ac:dyDescent="0.25">
      <c r="A613" s="222"/>
      <c r="B613" s="111" t="s">
        <v>1857</v>
      </c>
      <c r="C613" s="582">
        <v>400000000</v>
      </c>
      <c r="D613" s="813"/>
      <c r="E613" s="117"/>
      <c r="F613" s="114"/>
      <c r="G613" s="111"/>
    </row>
    <row r="614" spans="1:7" ht="20.100000000000001" customHeight="1" x14ac:dyDescent="0.25">
      <c r="A614" s="222"/>
      <c r="B614" s="111" t="s">
        <v>1858</v>
      </c>
      <c r="C614" s="582">
        <v>256900000</v>
      </c>
      <c r="D614" s="813"/>
      <c r="E614" s="117"/>
      <c r="F614" s="114"/>
      <c r="G614" s="111"/>
    </row>
    <row r="615" spans="1:7" ht="9.9499999999999993" customHeight="1" x14ac:dyDescent="0.25">
      <c r="A615" s="159"/>
      <c r="B615" s="111"/>
      <c r="C615" s="582"/>
      <c r="D615" s="813"/>
      <c r="E615" s="117"/>
      <c r="F615" s="117"/>
      <c r="G615" s="111"/>
    </row>
    <row r="616" spans="1:7" s="115" customFormat="1" ht="20.100000000000001" customHeight="1" x14ac:dyDescent="0.25">
      <c r="A616" s="222" t="s">
        <v>1859</v>
      </c>
      <c r="B616" s="258" t="s">
        <v>1860</v>
      </c>
      <c r="C616" s="125">
        <f>C617+C657</f>
        <v>38567925900</v>
      </c>
      <c r="D616" s="779">
        <f>+D617+D657</f>
        <v>34234493000</v>
      </c>
      <c r="E616" s="114">
        <f>+D616/C616*100</f>
        <v>88.764153635754624</v>
      </c>
      <c r="F616" s="117">
        <f>(F617+F657)/2</f>
        <v>91.347974887976733</v>
      </c>
      <c r="G616" s="121"/>
    </row>
    <row r="617" spans="1:7" s="115" customFormat="1" ht="20.100000000000001" customHeight="1" x14ac:dyDescent="0.25">
      <c r="A617" s="222"/>
      <c r="B617" s="249" t="s">
        <v>1861</v>
      </c>
      <c r="C617" s="319">
        <f>C618+C626+C642+C645+C649+C652+C654+C639</f>
        <v>27973825900</v>
      </c>
      <c r="D617" s="242">
        <f>D618+D626+D642+D645+D649+D652+D654+D639</f>
        <v>23640393000</v>
      </c>
      <c r="E617" s="114">
        <f t="shared" ref="E617:E655" si="54">+D617/C617*100</f>
        <v>84.508973082584319</v>
      </c>
      <c r="F617" s="114">
        <f>(F618+F626+F639+F642+F645+F649+F652+F654)/8</f>
        <v>82.695949775953466</v>
      </c>
      <c r="G617" s="121"/>
    </row>
    <row r="618" spans="1:7" s="115" customFormat="1" ht="20.100000000000001" customHeight="1" x14ac:dyDescent="0.25">
      <c r="A618" s="222"/>
      <c r="B618" s="425" t="s">
        <v>1862</v>
      </c>
      <c r="C618" s="426">
        <f>SUM(C619:C625)</f>
        <v>6489717900</v>
      </c>
      <c r="D618" s="242">
        <f>SUM(D619:D625)</f>
        <v>6087821200</v>
      </c>
      <c r="E618" s="114">
        <f t="shared" si="54"/>
        <v>93.807177658677588</v>
      </c>
      <c r="F618" s="114">
        <f>SUM(F619:F625)/7</f>
        <v>96.154325214459462</v>
      </c>
      <c r="G618" s="121"/>
    </row>
    <row r="619" spans="1:7" ht="20.100000000000001" customHeight="1" x14ac:dyDescent="0.25">
      <c r="A619" s="222"/>
      <c r="B619" s="259" t="s">
        <v>1863</v>
      </c>
      <c r="C619" s="320">
        <v>750000000</v>
      </c>
      <c r="D619" s="243">
        <v>750000000</v>
      </c>
      <c r="E619" s="117">
        <f t="shared" si="54"/>
        <v>100</v>
      </c>
      <c r="F619" s="117">
        <f>+E619</f>
        <v>100</v>
      </c>
      <c r="G619" s="111"/>
    </row>
    <row r="620" spans="1:7" ht="20.100000000000001" customHeight="1" x14ac:dyDescent="0.25">
      <c r="A620" s="222"/>
      <c r="B620" s="259" t="s">
        <v>1864</v>
      </c>
      <c r="C620" s="320">
        <v>1500000000</v>
      </c>
      <c r="D620" s="243">
        <v>1291766000</v>
      </c>
      <c r="E620" s="117">
        <f t="shared" si="54"/>
        <v>86.117733333333334</v>
      </c>
      <c r="F620" s="117">
        <f t="shared" ref="F620:F625" si="55">+E620</f>
        <v>86.117733333333334</v>
      </c>
      <c r="G620" s="111"/>
    </row>
    <row r="621" spans="1:7" ht="20.100000000000001" customHeight="1" x14ac:dyDescent="0.25">
      <c r="A621" s="222"/>
      <c r="B621" s="259" t="s">
        <v>1865</v>
      </c>
      <c r="C621" s="320">
        <v>300000000</v>
      </c>
      <c r="D621" s="243">
        <v>295050000</v>
      </c>
      <c r="E621" s="117">
        <f t="shared" si="54"/>
        <v>98.350000000000009</v>
      </c>
      <c r="F621" s="117">
        <f t="shared" si="55"/>
        <v>98.350000000000009</v>
      </c>
      <c r="G621" s="111"/>
    </row>
    <row r="622" spans="1:7" ht="20.100000000000001" customHeight="1" x14ac:dyDescent="0.25">
      <c r="A622" s="222"/>
      <c r="B622" s="259" t="s">
        <v>1866</v>
      </c>
      <c r="C622" s="320">
        <v>1813764200</v>
      </c>
      <c r="D622" s="243">
        <v>1813764200</v>
      </c>
      <c r="E622" s="117">
        <f t="shared" si="54"/>
        <v>100</v>
      </c>
      <c r="F622" s="117">
        <f t="shared" si="55"/>
        <v>100</v>
      </c>
      <c r="G622" s="111"/>
    </row>
    <row r="623" spans="1:7" ht="20.100000000000001" customHeight="1" x14ac:dyDescent="0.25">
      <c r="A623" s="222"/>
      <c r="B623" s="259" t="s">
        <v>1867</v>
      </c>
      <c r="C623" s="320">
        <v>215578300</v>
      </c>
      <c r="D623" s="243">
        <v>213000000</v>
      </c>
      <c r="E623" s="117">
        <f t="shared" si="54"/>
        <v>98.804007638987784</v>
      </c>
      <c r="F623" s="117">
        <f t="shared" si="55"/>
        <v>98.804007638987784</v>
      </c>
      <c r="G623" s="111"/>
    </row>
    <row r="624" spans="1:7" ht="20.100000000000001" customHeight="1" x14ac:dyDescent="0.25">
      <c r="A624" s="222"/>
      <c r="B624" s="259" t="s">
        <v>1868</v>
      </c>
      <c r="C624" s="320">
        <v>1826375400</v>
      </c>
      <c r="D624" s="243">
        <v>1640241000</v>
      </c>
      <c r="E624" s="117">
        <f t="shared" si="54"/>
        <v>89.808535528895092</v>
      </c>
      <c r="F624" s="117">
        <f t="shared" si="55"/>
        <v>89.808535528895092</v>
      </c>
      <c r="G624" s="111"/>
    </row>
    <row r="625" spans="1:7" ht="20.100000000000001" customHeight="1" x14ac:dyDescent="0.25">
      <c r="A625" s="222"/>
      <c r="B625" s="259" t="s">
        <v>1869</v>
      </c>
      <c r="C625" s="320">
        <v>84000000</v>
      </c>
      <c r="D625" s="243">
        <v>84000000</v>
      </c>
      <c r="E625" s="117">
        <f t="shared" si="54"/>
        <v>100</v>
      </c>
      <c r="F625" s="117">
        <f t="shared" si="55"/>
        <v>100</v>
      </c>
      <c r="G625" s="111"/>
    </row>
    <row r="626" spans="1:7" ht="20.100000000000001" customHeight="1" x14ac:dyDescent="0.25">
      <c r="A626" s="222"/>
      <c r="B626" s="425" t="s">
        <v>1870</v>
      </c>
      <c r="C626" s="426">
        <f>C627+C628+C629+C630+C631+C632+C633+C634+C635+C636+C637+C638</f>
        <v>11892918800</v>
      </c>
      <c r="D626" s="428">
        <f>SUM(D627:D638)</f>
        <v>10502884600</v>
      </c>
      <c r="E626" s="114">
        <f t="shared" si="54"/>
        <v>88.312085339386996</v>
      </c>
      <c r="F626" s="114">
        <f>SUM(F627:F638)/12</f>
        <v>78.567227213107827</v>
      </c>
      <c r="G626" s="111"/>
    </row>
    <row r="627" spans="1:7" ht="20.100000000000001" customHeight="1" x14ac:dyDescent="0.25">
      <c r="A627" s="222"/>
      <c r="B627" s="259" t="s">
        <v>1871</v>
      </c>
      <c r="C627" s="320">
        <v>1894554600</v>
      </c>
      <c r="D627" s="243">
        <v>1790405600</v>
      </c>
      <c r="E627" s="117">
        <f t="shared" si="54"/>
        <v>94.502718475360908</v>
      </c>
      <c r="F627" s="117">
        <f>+E627</f>
        <v>94.502718475360908</v>
      </c>
      <c r="G627" s="111"/>
    </row>
    <row r="628" spans="1:7" ht="20.100000000000001" customHeight="1" x14ac:dyDescent="0.25">
      <c r="A628" s="222"/>
      <c r="B628" s="259" t="s">
        <v>1872</v>
      </c>
      <c r="C628" s="320">
        <v>300000000</v>
      </c>
      <c r="D628" s="243">
        <v>300000000</v>
      </c>
      <c r="E628" s="117">
        <f t="shared" si="54"/>
        <v>100</v>
      </c>
      <c r="F628" s="117">
        <f t="shared" ref="F628:F638" si="56">+E628</f>
        <v>100</v>
      </c>
      <c r="G628" s="111"/>
    </row>
    <row r="629" spans="1:7" ht="20.100000000000001" customHeight="1" x14ac:dyDescent="0.25">
      <c r="A629" s="222"/>
      <c r="B629" s="259" t="s">
        <v>1873</v>
      </c>
      <c r="C629" s="320">
        <v>1813764200</v>
      </c>
      <c r="D629" s="243">
        <v>1319879000</v>
      </c>
      <c r="E629" s="117">
        <f t="shared" si="54"/>
        <v>72.770153915266391</v>
      </c>
      <c r="F629" s="117">
        <f t="shared" si="56"/>
        <v>72.770153915266391</v>
      </c>
      <c r="G629" s="111"/>
    </row>
    <row r="630" spans="1:7" ht="20.100000000000001" customHeight="1" x14ac:dyDescent="0.25">
      <c r="A630" s="222"/>
      <c r="B630" s="259" t="s">
        <v>1874</v>
      </c>
      <c r="C630" s="320">
        <v>2944200000</v>
      </c>
      <c r="D630" s="243">
        <v>2944200000</v>
      </c>
      <c r="E630" s="117">
        <f t="shared" si="54"/>
        <v>100</v>
      </c>
      <c r="F630" s="117">
        <f t="shared" si="56"/>
        <v>100</v>
      </c>
      <c r="G630" s="111"/>
    </row>
    <row r="631" spans="1:7" ht="20.100000000000001" customHeight="1" x14ac:dyDescent="0.25">
      <c r="A631" s="222"/>
      <c r="B631" s="259" t="s">
        <v>1875</v>
      </c>
      <c r="C631" s="320">
        <v>749400000</v>
      </c>
      <c r="D631" s="243">
        <v>749400000</v>
      </c>
      <c r="E631" s="117">
        <f t="shared" si="54"/>
        <v>100</v>
      </c>
      <c r="F631" s="117">
        <f t="shared" si="56"/>
        <v>100</v>
      </c>
      <c r="G631" s="111"/>
    </row>
    <row r="632" spans="1:7" ht="20.100000000000001" customHeight="1" x14ac:dyDescent="0.25">
      <c r="A632" s="222"/>
      <c r="B632" s="259" t="s">
        <v>1876</v>
      </c>
      <c r="C632" s="320">
        <v>730000000</v>
      </c>
      <c r="D632" s="243">
        <v>730000000</v>
      </c>
      <c r="E632" s="117">
        <f t="shared" si="54"/>
        <v>100</v>
      </c>
      <c r="F632" s="117">
        <f t="shared" si="56"/>
        <v>100</v>
      </c>
      <c r="G632" s="111"/>
    </row>
    <row r="633" spans="1:7" ht="20.100000000000001" customHeight="1" x14ac:dyDescent="0.25">
      <c r="A633" s="222"/>
      <c r="B633" s="259" t="s">
        <v>1877</v>
      </c>
      <c r="C633" s="320">
        <v>375000000</v>
      </c>
      <c r="D633" s="243">
        <v>0</v>
      </c>
      <c r="E633" s="117">
        <f t="shared" si="54"/>
        <v>0</v>
      </c>
      <c r="F633" s="117">
        <f t="shared" si="56"/>
        <v>0</v>
      </c>
      <c r="G633" s="111"/>
    </row>
    <row r="634" spans="1:7" ht="20.100000000000001" customHeight="1" x14ac:dyDescent="0.25">
      <c r="A634" s="222"/>
      <c r="B634" s="259" t="s">
        <v>1878</v>
      </c>
      <c r="C634" s="320">
        <v>150000000</v>
      </c>
      <c r="D634" s="243">
        <v>0</v>
      </c>
      <c r="E634" s="117">
        <f t="shared" si="54"/>
        <v>0</v>
      </c>
      <c r="F634" s="117">
        <f t="shared" si="56"/>
        <v>0</v>
      </c>
      <c r="G634" s="111"/>
    </row>
    <row r="635" spans="1:7" ht="20.100000000000001" customHeight="1" x14ac:dyDescent="0.25">
      <c r="A635" s="222"/>
      <c r="B635" s="259" t="s">
        <v>1879</v>
      </c>
      <c r="C635" s="320">
        <v>340000000</v>
      </c>
      <c r="D635" s="243">
        <v>340000000</v>
      </c>
      <c r="E635" s="117">
        <f t="shared" si="54"/>
        <v>100</v>
      </c>
      <c r="F635" s="117">
        <f t="shared" si="56"/>
        <v>100</v>
      </c>
      <c r="G635" s="111"/>
    </row>
    <row r="636" spans="1:7" ht="20.100000000000001" customHeight="1" x14ac:dyDescent="0.25">
      <c r="A636" s="222"/>
      <c r="B636" s="259" t="s">
        <v>1880</v>
      </c>
      <c r="C636" s="320">
        <v>340000000</v>
      </c>
      <c r="D636" s="243">
        <v>340000000</v>
      </c>
      <c r="E636" s="117">
        <f t="shared" si="54"/>
        <v>100</v>
      </c>
      <c r="F636" s="117">
        <f t="shared" si="56"/>
        <v>100</v>
      </c>
      <c r="G636" s="111"/>
    </row>
    <row r="637" spans="1:7" ht="20.100000000000001" customHeight="1" x14ac:dyDescent="0.25">
      <c r="A637" s="222"/>
      <c r="B637" s="259" t="s">
        <v>1881</v>
      </c>
      <c r="C637" s="320">
        <v>1536000000</v>
      </c>
      <c r="D637" s="243">
        <v>1365000000</v>
      </c>
      <c r="E637" s="117">
        <f t="shared" si="54"/>
        <v>88.8671875</v>
      </c>
      <c r="F637" s="117">
        <f t="shared" si="56"/>
        <v>88.8671875</v>
      </c>
      <c r="G637" s="111"/>
    </row>
    <row r="638" spans="1:7" ht="20.100000000000001" customHeight="1" x14ac:dyDescent="0.25">
      <c r="A638" s="222"/>
      <c r="B638" s="259" t="s">
        <v>1882</v>
      </c>
      <c r="C638" s="320">
        <v>720000000</v>
      </c>
      <c r="D638" s="243">
        <v>624000000</v>
      </c>
      <c r="E638" s="117">
        <f t="shared" si="54"/>
        <v>86.666666666666671</v>
      </c>
      <c r="F638" s="117">
        <f t="shared" si="56"/>
        <v>86.666666666666671</v>
      </c>
      <c r="G638" s="111"/>
    </row>
    <row r="639" spans="1:7" ht="20.100000000000001" customHeight="1" x14ac:dyDescent="0.25">
      <c r="A639" s="222"/>
      <c r="B639" s="425" t="s">
        <v>693</v>
      </c>
      <c r="C639" s="426">
        <f>SUM(C640:C641)</f>
        <v>984000000</v>
      </c>
      <c r="D639" s="243">
        <f>SUM(D640:D641)</f>
        <v>972000000</v>
      </c>
      <c r="E639" s="114">
        <f t="shared" si="54"/>
        <v>98.780487804878049</v>
      </c>
      <c r="F639" s="114">
        <f>SUM(F640:F641)/2</f>
        <v>98.780487804878049</v>
      </c>
      <c r="G639" s="111"/>
    </row>
    <row r="640" spans="1:7" ht="20.100000000000001" customHeight="1" x14ac:dyDescent="0.25">
      <c r="A640" s="222"/>
      <c r="B640" s="259" t="s">
        <v>1883</v>
      </c>
      <c r="C640" s="320">
        <v>492000000</v>
      </c>
      <c r="D640" s="243">
        <v>492000000</v>
      </c>
      <c r="E640" s="117">
        <f t="shared" si="54"/>
        <v>100</v>
      </c>
      <c r="F640" s="117">
        <f t="shared" ref="F640:F661" si="57">+E640</f>
        <v>100</v>
      </c>
      <c r="G640" s="111"/>
    </row>
    <row r="641" spans="1:7" ht="20.100000000000001" customHeight="1" x14ac:dyDescent="0.25">
      <c r="A641" s="222"/>
      <c r="B641" s="259" t="s">
        <v>1884</v>
      </c>
      <c r="C641" s="320">
        <v>492000000</v>
      </c>
      <c r="D641" s="243">
        <v>480000000</v>
      </c>
      <c r="E641" s="117">
        <f t="shared" si="54"/>
        <v>97.560975609756099</v>
      </c>
      <c r="F641" s="117">
        <f t="shared" si="57"/>
        <v>97.560975609756099</v>
      </c>
      <c r="G641" s="111"/>
    </row>
    <row r="642" spans="1:7" ht="20.100000000000001" customHeight="1" x14ac:dyDescent="0.25">
      <c r="A642" s="222"/>
      <c r="B642" s="425" t="s">
        <v>1885</v>
      </c>
      <c r="C642" s="426">
        <f>C643+C644</f>
        <v>690000000</v>
      </c>
      <c r="D642" s="243">
        <f>SUM(D643:D644)</f>
        <v>390000000</v>
      </c>
      <c r="E642" s="114">
        <f t="shared" si="54"/>
        <v>56.521739130434781</v>
      </c>
      <c r="F642" s="114">
        <f>SUM(F643:F644)/2</f>
        <v>50</v>
      </c>
      <c r="G642" s="111"/>
    </row>
    <row r="643" spans="1:7" ht="20.100000000000001" customHeight="1" x14ac:dyDescent="0.25">
      <c r="A643" s="222"/>
      <c r="B643" s="259" t="s">
        <v>1886</v>
      </c>
      <c r="C643" s="320">
        <v>300000000</v>
      </c>
      <c r="D643" s="243"/>
      <c r="E643" s="114">
        <f t="shared" si="54"/>
        <v>0</v>
      </c>
      <c r="F643" s="114">
        <f t="shared" si="57"/>
        <v>0</v>
      </c>
      <c r="G643" s="111"/>
    </row>
    <row r="644" spans="1:7" ht="20.100000000000001" customHeight="1" x14ac:dyDescent="0.25">
      <c r="A644" s="222"/>
      <c r="B644" s="259" t="s">
        <v>1887</v>
      </c>
      <c r="C644" s="320">
        <v>390000000</v>
      </c>
      <c r="D644" s="243">
        <v>390000000</v>
      </c>
      <c r="E644" s="117">
        <f t="shared" si="54"/>
        <v>100</v>
      </c>
      <c r="F644" s="117">
        <f t="shared" si="57"/>
        <v>100</v>
      </c>
      <c r="G644" s="111"/>
    </row>
    <row r="645" spans="1:7" ht="20.100000000000001" customHeight="1" x14ac:dyDescent="0.25">
      <c r="A645" s="222"/>
      <c r="B645" s="425" t="s">
        <v>1888</v>
      </c>
      <c r="C645" s="426">
        <f>C646+C647+C648</f>
        <v>1556667150</v>
      </c>
      <c r="D645" s="242">
        <f>SUM(D646:D648)</f>
        <v>1556667150</v>
      </c>
      <c r="E645" s="114">
        <f t="shared" si="54"/>
        <v>100</v>
      </c>
      <c r="F645" s="114">
        <f>SUM(F646:F648)/3</f>
        <v>100</v>
      </c>
      <c r="G645" s="111"/>
    </row>
    <row r="646" spans="1:7" ht="20.100000000000001" customHeight="1" x14ac:dyDescent="0.25">
      <c r="A646" s="222"/>
      <c r="B646" s="259" t="s">
        <v>1889</v>
      </c>
      <c r="C646" s="320">
        <v>530979950</v>
      </c>
      <c r="D646" s="243">
        <v>530979950</v>
      </c>
      <c r="E646" s="117">
        <f t="shared" si="54"/>
        <v>100</v>
      </c>
      <c r="F646" s="117">
        <f t="shared" si="57"/>
        <v>100</v>
      </c>
      <c r="G646" s="111"/>
    </row>
    <row r="647" spans="1:7" ht="20.100000000000001" customHeight="1" x14ac:dyDescent="0.25">
      <c r="A647" s="222"/>
      <c r="B647" s="259" t="s">
        <v>1890</v>
      </c>
      <c r="C647" s="320">
        <v>542983600</v>
      </c>
      <c r="D647" s="243">
        <v>542983600</v>
      </c>
      <c r="E647" s="117">
        <f t="shared" si="54"/>
        <v>100</v>
      </c>
      <c r="F647" s="117">
        <f t="shared" si="57"/>
        <v>100</v>
      </c>
      <c r="G647" s="111"/>
    </row>
    <row r="648" spans="1:7" ht="20.100000000000001" customHeight="1" x14ac:dyDescent="0.25">
      <c r="A648" s="222"/>
      <c r="B648" s="259" t="s">
        <v>1891</v>
      </c>
      <c r="C648" s="320">
        <v>482703600</v>
      </c>
      <c r="D648" s="243">
        <v>482703600</v>
      </c>
      <c r="E648" s="117">
        <f t="shared" si="54"/>
        <v>100</v>
      </c>
      <c r="F648" s="117">
        <f t="shared" si="57"/>
        <v>100</v>
      </c>
      <c r="G648" s="111"/>
    </row>
    <row r="649" spans="1:7" ht="20.100000000000001" customHeight="1" x14ac:dyDescent="0.25">
      <c r="A649" s="222"/>
      <c r="B649" s="425" t="s">
        <v>1892</v>
      </c>
      <c r="C649" s="426">
        <f>C650+C651</f>
        <v>4028600000</v>
      </c>
      <c r="D649" s="428">
        <f>SUM(D650:D651)</f>
        <v>2363436000</v>
      </c>
      <c r="E649" s="114">
        <f t="shared" si="54"/>
        <v>58.666434989822768</v>
      </c>
      <c r="F649" s="114">
        <f>SUM(F650:F651)/2</f>
        <v>78.609236302909636</v>
      </c>
      <c r="G649" s="111"/>
    </row>
    <row r="650" spans="1:7" ht="20.100000000000001" customHeight="1" x14ac:dyDescent="0.25">
      <c r="A650" s="222"/>
      <c r="B650" s="259" t="s">
        <v>1893</v>
      </c>
      <c r="C650" s="320">
        <v>136350000</v>
      </c>
      <c r="D650" s="243">
        <v>136350000</v>
      </c>
      <c r="E650" s="117">
        <f t="shared" si="54"/>
        <v>100</v>
      </c>
      <c r="F650" s="117">
        <f t="shared" si="57"/>
        <v>100</v>
      </c>
      <c r="G650" s="111"/>
    </row>
    <row r="651" spans="1:7" ht="20.100000000000001" customHeight="1" x14ac:dyDescent="0.25">
      <c r="A651" s="222"/>
      <c r="B651" s="259" t="s">
        <v>1894</v>
      </c>
      <c r="C651" s="320">
        <v>3892250000</v>
      </c>
      <c r="D651" s="243">
        <v>2227086000</v>
      </c>
      <c r="E651" s="117">
        <f t="shared" si="54"/>
        <v>57.218472605819258</v>
      </c>
      <c r="F651" s="117">
        <f t="shared" si="57"/>
        <v>57.218472605819258</v>
      </c>
      <c r="G651" s="111"/>
    </row>
    <row r="652" spans="1:7" ht="20.100000000000001" customHeight="1" x14ac:dyDescent="0.25">
      <c r="A652" s="222"/>
      <c r="B652" s="425" t="s">
        <v>1895</v>
      </c>
      <c r="C652" s="426">
        <f>C653</f>
        <v>939996050</v>
      </c>
      <c r="D652" s="243">
        <f>D653</f>
        <v>939996050</v>
      </c>
      <c r="E652" s="114">
        <f t="shared" si="54"/>
        <v>100</v>
      </c>
      <c r="F652" s="114">
        <f t="shared" si="57"/>
        <v>100</v>
      </c>
      <c r="G652" s="111"/>
    </row>
    <row r="653" spans="1:7" ht="20.100000000000001" customHeight="1" x14ac:dyDescent="0.25">
      <c r="A653" s="222"/>
      <c r="B653" s="259" t="s">
        <v>1896</v>
      </c>
      <c r="C653" s="320">
        <v>939996050</v>
      </c>
      <c r="D653" s="243">
        <v>939996050</v>
      </c>
      <c r="E653" s="117">
        <f t="shared" si="54"/>
        <v>100</v>
      </c>
      <c r="F653" s="117">
        <f t="shared" si="57"/>
        <v>100</v>
      </c>
      <c r="G653" s="111"/>
    </row>
    <row r="654" spans="1:7" ht="20.100000000000001" customHeight="1" x14ac:dyDescent="0.25">
      <c r="A654" s="222"/>
      <c r="B654" s="425" t="s">
        <v>1897</v>
      </c>
      <c r="C654" s="426">
        <f>C655</f>
        <v>1391926000</v>
      </c>
      <c r="D654" s="242">
        <f>SUM(D655)</f>
        <v>827588000</v>
      </c>
      <c r="E654" s="114">
        <f t="shared" si="54"/>
        <v>59.456321672272807</v>
      </c>
      <c r="F654" s="114">
        <f t="shared" si="57"/>
        <v>59.456321672272807</v>
      </c>
      <c r="G654" s="111"/>
    </row>
    <row r="655" spans="1:7" ht="20.100000000000001" customHeight="1" x14ac:dyDescent="0.25">
      <c r="A655" s="222"/>
      <c r="B655" s="259" t="s">
        <v>1898</v>
      </c>
      <c r="C655" s="320">
        <v>1391926000</v>
      </c>
      <c r="D655" s="243">
        <v>827588000</v>
      </c>
      <c r="E655" s="117">
        <f t="shared" si="54"/>
        <v>59.456321672272807</v>
      </c>
      <c r="F655" s="117">
        <f t="shared" si="57"/>
        <v>59.456321672272807</v>
      </c>
      <c r="G655" s="111"/>
    </row>
    <row r="656" spans="1:7" ht="9.9499999999999993" customHeight="1" x14ac:dyDescent="0.25">
      <c r="A656" s="159"/>
      <c r="B656" s="111"/>
      <c r="C656" s="582"/>
      <c r="D656" s="778"/>
      <c r="E656" s="117"/>
      <c r="F656" s="114">
        <f t="shared" si="57"/>
        <v>0</v>
      </c>
      <c r="G656" s="111"/>
    </row>
    <row r="657" spans="1:8" ht="20.100000000000001" customHeight="1" x14ac:dyDescent="0.25">
      <c r="A657" s="159"/>
      <c r="B657" s="249" t="s">
        <v>1111</v>
      </c>
      <c r="C657" s="618">
        <f>C658</f>
        <v>10594100000</v>
      </c>
      <c r="D657" s="814">
        <v>10594100000</v>
      </c>
      <c r="E657" s="114">
        <f>+D657/C657*100</f>
        <v>100</v>
      </c>
      <c r="F657" s="114">
        <f t="shared" si="57"/>
        <v>100</v>
      </c>
      <c r="G657" s="111"/>
    </row>
    <row r="658" spans="1:8" ht="20.100000000000001" customHeight="1" x14ac:dyDescent="0.25">
      <c r="A658" s="159"/>
      <c r="B658" s="121" t="s">
        <v>1957</v>
      </c>
      <c r="C658" s="125">
        <f>SUM(C659:C661)</f>
        <v>10594100000</v>
      </c>
      <c r="D658" s="815">
        <v>10594100000</v>
      </c>
      <c r="E658" s="114">
        <f>+D658/C658*100</f>
        <v>100</v>
      </c>
      <c r="F658" s="114">
        <f t="shared" si="57"/>
        <v>100</v>
      </c>
      <c r="G658" s="111"/>
    </row>
    <row r="659" spans="1:8" ht="20.100000000000001" customHeight="1" x14ac:dyDescent="0.25">
      <c r="A659" s="159"/>
      <c r="B659" s="111" t="s">
        <v>1958</v>
      </c>
      <c r="C659" s="582">
        <v>541000000</v>
      </c>
      <c r="D659" s="243">
        <v>541000000</v>
      </c>
      <c r="E659" s="114">
        <f t="shared" ref="E659:E661" si="58">+D659/C659*100</f>
        <v>100</v>
      </c>
      <c r="F659" s="114">
        <f t="shared" si="57"/>
        <v>100</v>
      </c>
      <c r="G659" s="111"/>
    </row>
    <row r="660" spans="1:8" ht="20.100000000000001" customHeight="1" x14ac:dyDescent="0.25">
      <c r="A660" s="159"/>
      <c r="B660" s="111" t="s">
        <v>1960</v>
      </c>
      <c r="C660" s="582">
        <v>9048900000</v>
      </c>
      <c r="D660" s="243">
        <v>3100000000</v>
      </c>
      <c r="E660" s="114">
        <f t="shared" si="58"/>
        <v>34.258307639602606</v>
      </c>
      <c r="F660" s="114">
        <f t="shared" si="57"/>
        <v>34.258307639602606</v>
      </c>
      <c r="G660" s="111"/>
    </row>
    <row r="661" spans="1:8" ht="20.100000000000001" customHeight="1" x14ac:dyDescent="0.25">
      <c r="A661" s="159"/>
      <c r="B661" s="111" t="s">
        <v>1964</v>
      </c>
      <c r="C661" s="582">
        <v>1004200000</v>
      </c>
      <c r="D661" s="243">
        <v>9048900000</v>
      </c>
      <c r="E661" s="114">
        <f t="shared" si="58"/>
        <v>901.10535749850624</v>
      </c>
      <c r="F661" s="114">
        <f t="shared" si="57"/>
        <v>901.10535749850624</v>
      </c>
      <c r="G661" s="111"/>
    </row>
    <row r="662" spans="1:8" ht="9.9499999999999993" customHeight="1" x14ac:dyDescent="0.25">
      <c r="A662" s="159"/>
      <c r="B662" s="535"/>
      <c r="C662" s="582"/>
      <c r="D662" s="778"/>
      <c r="E662" s="117"/>
      <c r="F662" s="117"/>
      <c r="G662" s="111"/>
    </row>
    <row r="663" spans="1:8" ht="20.100000000000001" customHeight="1" x14ac:dyDescent="0.25">
      <c r="A663" s="222" t="s">
        <v>1998</v>
      </c>
      <c r="B663" s="217" t="s">
        <v>1999</v>
      </c>
      <c r="C663" s="595">
        <f>+C664+C685</f>
        <v>30386858500</v>
      </c>
      <c r="D663" s="779">
        <f>+D664+D685</f>
        <v>18190431000</v>
      </c>
      <c r="E663" s="114">
        <f>+D663/C663*100</f>
        <v>59.862821949824131</v>
      </c>
      <c r="F663" s="114">
        <f>(F664+F685)/2</f>
        <v>63.4375</v>
      </c>
      <c r="G663" s="593"/>
      <c r="H663" s="324"/>
    </row>
    <row r="664" spans="1:8" ht="20.100000000000001" customHeight="1" x14ac:dyDescent="0.25">
      <c r="A664" s="222"/>
      <c r="B664" s="48" t="s">
        <v>82</v>
      </c>
      <c r="C664" s="619">
        <f>C665+C667+C669+C671+C673+C675+C679+C682+C684</f>
        <v>18836858500</v>
      </c>
      <c r="D664" s="811">
        <f>D665+D667+D669+D671+D673+D675+D679+D682+D684</f>
        <v>11440431000</v>
      </c>
      <c r="E664" s="110">
        <f>+D664/C664*100</f>
        <v>60.734283267032026</v>
      </c>
      <c r="F664" s="110">
        <f>(F665+F667+F669+F671+F673+F675+F679+F682)/8</f>
        <v>66.875</v>
      </c>
      <c r="G664" s="125"/>
    </row>
    <row r="665" spans="1:8" ht="20.100000000000001" customHeight="1" x14ac:dyDescent="0.25">
      <c r="A665" s="222"/>
      <c r="B665" s="48" t="s">
        <v>227</v>
      </c>
      <c r="C665" s="106">
        <v>6480000000</v>
      </c>
      <c r="D665" s="811">
        <f>D666</f>
        <v>4792500000</v>
      </c>
      <c r="E665" s="110">
        <f t="shared" ref="E665:E687" si="59">+D665/C665*100</f>
        <v>73.958333333333343</v>
      </c>
      <c r="F665" s="110">
        <f>+F666</f>
        <v>80</v>
      </c>
      <c r="G665" s="595"/>
    </row>
    <row r="666" spans="1:8" ht="20.100000000000001" customHeight="1" x14ac:dyDescent="0.25">
      <c r="A666" s="222"/>
      <c r="B666" s="32" t="s">
        <v>2000</v>
      </c>
      <c r="C666" s="620">
        <v>6480000000</v>
      </c>
      <c r="D666" s="793">
        <v>4792500000</v>
      </c>
      <c r="E666" s="235">
        <f t="shared" si="59"/>
        <v>73.958333333333343</v>
      </c>
      <c r="F666" s="235">
        <v>80</v>
      </c>
      <c r="G666" s="617"/>
    </row>
    <row r="667" spans="1:8" ht="20.100000000000001" customHeight="1" x14ac:dyDescent="0.25">
      <c r="A667" s="222"/>
      <c r="B667" s="48" t="s">
        <v>693</v>
      </c>
      <c r="C667" s="106">
        <v>403107840</v>
      </c>
      <c r="D667" s="811">
        <f>D668</f>
        <v>322486000</v>
      </c>
      <c r="E667" s="110">
        <f t="shared" si="59"/>
        <v>79.999932524259506</v>
      </c>
      <c r="F667" s="110">
        <f>+F668</f>
        <v>85</v>
      </c>
      <c r="G667" s="595"/>
    </row>
    <row r="668" spans="1:8" ht="20.100000000000001" customHeight="1" x14ac:dyDescent="0.25">
      <c r="A668" s="222"/>
      <c r="B668" s="32" t="s">
        <v>2001</v>
      </c>
      <c r="C668" s="620">
        <v>403107840</v>
      </c>
      <c r="D668" s="793">
        <v>322486000</v>
      </c>
      <c r="E668" s="235">
        <f t="shared" si="59"/>
        <v>79.999932524259506</v>
      </c>
      <c r="F668" s="235">
        <v>85</v>
      </c>
      <c r="G668" s="617"/>
    </row>
    <row r="669" spans="1:8" ht="20.100000000000001" customHeight="1" x14ac:dyDescent="0.25">
      <c r="A669" s="222"/>
      <c r="B669" s="48" t="s">
        <v>177</v>
      </c>
      <c r="C669" s="106">
        <f>+C670</f>
        <v>5647356000</v>
      </c>
      <c r="D669" s="811">
        <f>D670</f>
        <v>2400000000</v>
      </c>
      <c r="E669" s="110">
        <f t="shared" si="59"/>
        <v>42.497763555192911</v>
      </c>
      <c r="F669" s="110">
        <f>+F670</f>
        <v>85</v>
      </c>
      <c r="G669" s="595"/>
    </row>
    <row r="670" spans="1:8" ht="20.100000000000001" customHeight="1" x14ac:dyDescent="0.25">
      <c r="A670" s="222"/>
      <c r="B670" s="32" t="s">
        <v>2002</v>
      </c>
      <c r="C670" s="620">
        <v>5647356000</v>
      </c>
      <c r="D670" s="793">
        <v>2400000000</v>
      </c>
      <c r="E670" s="235">
        <f t="shared" si="59"/>
        <v>42.497763555192911</v>
      </c>
      <c r="F670" s="235">
        <v>85</v>
      </c>
      <c r="G670" s="617"/>
    </row>
    <row r="671" spans="1:8" ht="20.100000000000001" customHeight="1" x14ac:dyDescent="0.25">
      <c r="A671" s="222"/>
      <c r="B671" s="48" t="s">
        <v>2003</v>
      </c>
      <c r="C671" s="106">
        <f>C672</f>
        <v>1114445560</v>
      </c>
      <c r="D671" s="811">
        <f>D672</f>
        <v>0</v>
      </c>
      <c r="E671" s="110">
        <f t="shared" si="59"/>
        <v>0</v>
      </c>
      <c r="F671" s="110"/>
      <c r="G671" s="595"/>
    </row>
    <row r="672" spans="1:8" ht="20.100000000000001" customHeight="1" x14ac:dyDescent="0.25">
      <c r="A672" s="222"/>
      <c r="B672" s="32" t="s">
        <v>2004</v>
      </c>
      <c r="C672" s="620">
        <v>1114445560</v>
      </c>
      <c r="D672" s="793">
        <v>0</v>
      </c>
      <c r="E672" s="235">
        <f t="shared" si="59"/>
        <v>0</v>
      </c>
      <c r="F672" s="235">
        <v>0</v>
      </c>
      <c r="G672" s="617"/>
    </row>
    <row r="673" spans="1:7" ht="20.100000000000001" customHeight="1" x14ac:dyDescent="0.25">
      <c r="A673" s="222"/>
      <c r="B673" s="48" t="s">
        <v>2005</v>
      </c>
      <c r="C673" s="106">
        <f>+C674</f>
        <v>600000000</v>
      </c>
      <c r="D673" s="811">
        <f>D674</f>
        <v>167880000</v>
      </c>
      <c r="E673" s="110">
        <f t="shared" si="59"/>
        <v>27.98</v>
      </c>
      <c r="F673" s="110">
        <f>+F674</f>
        <v>60</v>
      </c>
      <c r="G673" s="595"/>
    </row>
    <row r="674" spans="1:7" ht="28.5" customHeight="1" x14ac:dyDescent="0.25">
      <c r="A674" s="222"/>
      <c r="B674" s="119" t="s">
        <v>2006</v>
      </c>
      <c r="C674" s="620">
        <v>600000000</v>
      </c>
      <c r="D674" s="793">
        <v>167880000</v>
      </c>
      <c r="E674" s="235">
        <f t="shared" si="59"/>
        <v>27.98</v>
      </c>
      <c r="F674" s="235">
        <v>60</v>
      </c>
      <c r="G674" s="617"/>
    </row>
    <row r="675" spans="1:7" ht="20.100000000000001" customHeight="1" x14ac:dyDescent="0.25">
      <c r="A675" s="222"/>
      <c r="B675" s="48" t="s">
        <v>680</v>
      </c>
      <c r="C675" s="106">
        <f>C676+C677+C678</f>
        <v>2896305000</v>
      </c>
      <c r="D675" s="811">
        <f>D676+D677+D678</f>
        <v>2874115000</v>
      </c>
      <c r="E675" s="110">
        <f t="shared" si="59"/>
        <v>99.233851407224023</v>
      </c>
      <c r="F675" s="110">
        <f>SUM(F676:F678)/3</f>
        <v>70</v>
      </c>
      <c r="G675" s="617"/>
    </row>
    <row r="676" spans="1:7" ht="20.100000000000001" customHeight="1" x14ac:dyDescent="0.25">
      <c r="A676" s="222"/>
      <c r="B676" s="32" t="s">
        <v>2007</v>
      </c>
      <c r="C676" s="620">
        <v>1896305000</v>
      </c>
      <c r="D676" s="793">
        <v>1896305000</v>
      </c>
      <c r="E676" s="235">
        <f t="shared" si="59"/>
        <v>100</v>
      </c>
      <c r="F676" s="235">
        <v>100</v>
      </c>
      <c r="G676" s="617"/>
    </row>
    <row r="677" spans="1:7" ht="20.100000000000001" customHeight="1" x14ac:dyDescent="0.25">
      <c r="A677" s="222"/>
      <c r="B677" s="32" t="s">
        <v>2008</v>
      </c>
      <c r="C677" s="620">
        <v>500000000</v>
      </c>
      <c r="D677" s="793">
        <v>480000000</v>
      </c>
      <c r="E677" s="235">
        <f t="shared" si="59"/>
        <v>96</v>
      </c>
      <c r="F677" s="235">
        <v>60</v>
      </c>
      <c r="G677" s="617"/>
    </row>
    <row r="678" spans="1:7" ht="20.100000000000001" customHeight="1" x14ac:dyDescent="0.25">
      <c r="A678" s="222"/>
      <c r="B678" s="32" t="s">
        <v>2009</v>
      </c>
      <c r="C678" s="620">
        <v>500000000</v>
      </c>
      <c r="D678" s="793">
        <v>497810000</v>
      </c>
      <c r="E678" s="235">
        <f t="shared" si="59"/>
        <v>99.561999999999998</v>
      </c>
      <c r="F678" s="235">
        <v>50</v>
      </c>
      <c r="G678" s="617"/>
    </row>
    <row r="679" spans="1:7" ht="20.100000000000001" customHeight="1" x14ac:dyDescent="0.25">
      <c r="A679" s="222"/>
      <c r="B679" s="48" t="s">
        <v>2010</v>
      </c>
      <c r="C679" s="106">
        <f>C680+C681</f>
        <v>603695000</v>
      </c>
      <c r="D679" s="811">
        <f>D680+D681</f>
        <v>198450000</v>
      </c>
      <c r="E679" s="110">
        <f t="shared" si="59"/>
        <v>32.872559819113953</v>
      </c>
      <c r="F679" s="110">
        <f>SUM(F680:F681)/2</f>
        <v>75</v>
      </c>
      <c r="G679" s="617"/>
    </row>
    <row r="680" spans="1:7" ht="20.100000000000001" customHeight="1" x14ac:dyDescent="0.25">
      <c r="A680" s="222"/>
      <c r="B680" s="32" t="s">
        <v>979</v>
      </c>
      <c r="C680" s="620">
        <v>500000000</v>
      </c>
      <c r="D680" s="793">
        <v>167370000</v>
      </c>
      <c r="E680" s="235">
        <f t="shared" si="59"/>
        <v>33.473999999999997</v>
      </c>
      <c r="F680" s="235">
        <v>70</v>
      </c>
      <c r="G680" s="617"/>
    </row>
    <row r="681" spans="1:7" ht="20.100000000000001" customHeight="1" x14ac:dyDescent="0.25">
      <c r="A681" s="222"/>
      <c r="B681" s="32" t="s">
        <v>2011</v>
      </c>
      <c r="C681" s="620">
        <v>103695000</v>
      </c>
      <c r="D681" s="793">
        <v>31080000</v>
      </c>
      <c r="E681" s="235">
        <f t="shared" si="59"/>
        <v>29.972515550412265</v>
      </c>
      <c r="F681" s="235">
        <v>80</v>
      </c>
      <c r="G681" s="111"/>
    </row>
    <row r="682" spans="1:7" ht="20.100000000000001" customHeight="1" x14ac:dyDescent="0.25">
      <c r="A682" s="222"/>
      <c r="B682" s="48" t="s">
        <v>1371</v>
      </c>
      <c r="C682" s="106">
        <f>+C683</f>
        <v>1091949100</v>
      </c>
      <c r="D682" s="811">
        <v>685000000</v>
      </c>
      <c r="E682" s="110">
        <f t="shared" si="59"/>
        <v>62.731861769014699</v>
      </c>
      <c r="F682" s="110">
        <f>+F683</f>
        <v>80</v>
      </c>
      <c r="G682" s="595"/>
    </row>
    <row r="683" spans="1:7" ht="27.75" customHeight="1" x14ac:dyDescent="0.25">
      <c r="A683" s="222"/>
      <c r="B683" s="119" t="s">
        <v>2012</v>
      </c>
      <c r="C683" s="620">
        <v>1091949100</v>
      </c>
      <c r="D683" s="793">
        <v>685000000</v>
      </c>
      <c r="E683" s="235">
        <f t="shared" si="59"/>
        <v>62.731861769014699</v>
      </c>
      <c r="F683" s="235">
        <v>80</v>
      </c>
      <c r="G683" s="617"/>
    </row>
    <row r="684" spans="1:7" ht="9.9499999999999993" customHeight="1" x14ac:dyDescent="0.25">
      <c r="A684" s="222"/>
      <c r="B684" s="119"/>
      <c r="C684" s="169"/>
      <c r="D684" s="108"/>
      <c r="E684" s="235"/>
      <c r="F684" s="117"/>
      <c r="G684" s="617"/>
    </row>
    <row r="685" spans="1:7" ht="20.100000000000001" customHeight="1" x14ac:dyDescent="0.25">
      <c r="A685" s="222"/>
      <c r="B685" s="48" t="s">
        <v>2013</v>
      </c>
      <c r="C685" s="106">
        <v>11550000000</v>
      </c>
      <c r="D685" s="811">
        <v>6750000000</v>
      </c>
      <c r="E685" s="110">
        <f t="shared" si="59"/>
        <v>58.441558441558442</v>
      </c>
      <c r="F685" s="110">
        <f>+F686</f>
        <v>60</v>
      </c>
      <c r="G685" s="595"/>
    </row>
    <row r="686" spans="1:7" ht="20.100000000000001" customHeight="1" x14ac:dyDescent="0.25">
      <c r="A686" s="222"/>
      <c r="B686" s="48" t="s">
        <v>693</v>
      </c>
      <c r="C686" s="106">
        <v>11550000000</v>
      </c>
      <c r="D686" s="650">
        <v>6750000000</v>
      </c>
      <c r="E686" s="110">
        <f t="shared" si="59"/>
        <v>58.441558441558442</v>
      </c>
      <c r="F686" s="110">
        <f>+F687</f>
        <v>60</v>
      </c>
      <c r="G686" s="595"/>
    </row>
    <row r="687" spans="1:7" ht="20.100000000000001" customHeight="1" x14ac:dyDescent="0.25">
      <c r="A687" s="159"/>
      <c r="B687" s="32" t="s">
        <v>2014</v>
      </c>
      <c r="C687" s="620">
        <v>11550000000</v>
      </c>
      <c r="D687" s="793">
        <v>6750000000</v>
      </c>
      <c r="E687" s="235">
        <f t="shared" si="59"/>
        <v>58.441558441558442</v>
      </c>
      <c r="F687" s="235">
        <v>60</v>
      </c>
      <c r="G687" s="617"/>
    </row>
    <row r="688" spans="1:7" ht="9.9499999999999993" customHeight="1" x14ac:dyDescent="0.25">
      <c r="A688" s="159"/>
      <c r="B688" s="32"/>
      <c r="C688" s="620"/>
      <c r="D688" s="793"/>
      <c r="E688" s="235"/>
      <c r="F688" s="235"/>
      <c r="G688" s="111"/>
    </row>
    <row r="689" spans="1:7" ht="20.100000000000001" customHeight="1" x14ac:dyDescent="0.25">
      <c r="A689" s="222" t="s">
        <v>4007</v>
      </c>
      <c r="B689" s="48" t="s">
        <v>2072</v>
      </c>
      <c r="C689" s="595">
        <f>C690+C712</f>
        <v>30188863500</v>
      </c>
      <c r="D689" s="816">
        <f>D690+D711</f>
        <v>18020366500</v>
      </c>
      <c r="E689" s="114">
        <f>+D689/C689*100</f>
        <v>59.692099704250211</v>
      </c>
      <c r="F689" s="114">
        <f>(F690+F712)/2</f>
        <v>64.694598382679686</v>
      </c>
      <c r="G689" s="111"/>
    </row>
    <row r="690" spans="1:7" ht="20.100000000000001" customHeight="1" x14ac:dyDescent="0.25">
      <c r="A690" s="222"/>
      <c r="B690" s="267" t="s">
        <v>1861</v>
      </c>
      <c r="C690" s="125">
        <v>23818759500</v>
      </c>
      <c r="D690" s="816">
        <f>D691+D694+D701+D705+D707+D709</f>
        <v>18020366500</v>
      </c>
      <c r="E690" s="114">
        <f t="shared" ref="E690:E719" si="60">+D690/C690*100</f>
        <v>75.656192338648026</v>
      </c>
      <c r="F690" s="117">
        <f>(F691+F694+F701+F705+F707+F709)/6</f>
        <v>29.389196765359376</v>
      </c>
      <c r="G690" s="111"/>
    </row>
    <row r="691" spans="1:7" ht="20.100000000000001" customHeight="1" x14ac:dyDescent="0.25">
      <c r="A691" s="222"/>
      <c r="B691" s="267" t="s">
        <v>797</v>
      </c>
      <c r="C691" s="125">
        <v>2273320000</v>
      </c>
      <c r="D691" s="816">
        <f>SUM(D692:D693)</f>
        <v>1116340000</v>
      </c>
      <c r="E691" s="114">
        <f t="shared" si="60"/>
        <v>49.106153115267539</v>
      </c>
      <c r="F691" s="117">
        <v>30</v>
      </c>
      <c r="G691" s="111"/>
    </row>
    <row r="692" spans="1:7" ht="20.100000000000001" customHeight="1" x14ac:dyDescent="0.25">
      <c r="A692" s="222"/>
      <c r="B692" s="268" t="s">
        <v>2073</v>
      </c>
      <c r="C692" s="582">
        <v>1891000000</v>
      </c>
      <c r="D692" s="817">
        <v>806400000</v>
      </c>
      <c r="E692" s="114">
        <f t="shared" si="60"/>
        <v>42.644103648863037</v>
      </c>
      <c r="F692" s="117">
        <f t="shared" ref="F692:F710" si="61">+E692</f>
        <v>42.644103648863037</v>
      </c>
      <c r="G692" s="111"/>
    </row>
    <row r="693" spans="1:7" ht="30.75" customHeight="1" x14ac:dyDescent="0.25">
      <c r="A693" s="222"/>
      <c r="B693" s="268" t="s">
        <v>2074</v>
      </c>
      <c r="C693" s="582">
        <v>382320000</v>
      </c>
      <c r="D693" s="817">
        <v>309940000</v>
      </c>
      <c r="E693" s="114">
        <f t="shared" si="60"/>
        <v>81.068215107763137</v>
      </c>
      <c r="F693" s="117">
        <f t="shared" si="61"/>
        <v>81.068215107763137</v>
      </c>
      <c r="G693" s="111"/>
    </row>
    <row r="694" spans="1:7" ht="20.100000000000001" customHeight="1" x14ac:dyDescent="0.25">
      <c r="A694" s="222"/>
      <c r="B694" s="267" t="s">
        <v>927</v>
      </c>
      <c r="C694" s="125">
        <f>SUM(C695:C700)</f>
        <v>14701882500</v>
      </c>
      <c r="D694" s="816">
        <f>SUM(D695:D700)</f>
        <v>12351730000</v>
      </c>
      <c r="E694" s="114">
        <f t="shared" si="60"/>
        <v>84.014615135170615</v>
      </c>
      <c r="F694" s="117">
        <v>50</v>
      </c>
      <c r="G694" s="111"/>
    </row>
    <row r="695" spans="1:7" ht="20.100000000000001" customHeight="1" x14ac:dyDescent="0.25">
      <c r="A695" s="222"/>
      <c r="B695" s="268" t="s">
        <v>2075</v>
      </c>
      <c r="C695" s="582">
        <v>1188000000</v>
      </c>
      <c r="D695" s="817">
        <v>648000000</v>
      </c>
      <c r="E695" s="114">
        <f t="shared" si="60"/>
        <v>54.54545454545454</v>
      </c>
      <c r="F695" s="117">
        <f t="shared" si="61"/>
        <v>54.54545454545454</v>
      </c>
      <c r="G695" s="111"/>
    </row>
    <row r="696" spans="1:7" ht="20.100000000000001" customHeight="1" x14ac:dyDescent="0.25">
      <c r="A696" s="222"/>
      <c r="B696" s="268" t="s">
        <v>2076</v>
      </c>
      <c r="C696" s="582">
        <v>3505320000</v>
      </c>
      <c r="D696" s="817">
        <v>3495870000</v>
      </c>
      <c r="E696" s="114">
        <f t="shared" si="60"/>
        <v>99.730409777138746</v>
      </c>
      <c r="F696" s="117">
        <f t="shared" si="61"/>
        <v>99.730409777138746</v>
      </c>
      <c r="G696" s="111"/>
    </row>
    <row r="697" spans="1:7" ht="29.25" customHeight="1" x14ac:dyDescent="0.25">
      <c r="A697" s="222"/>
      <c r="B697" s="268" t="s">
        <v>2077</v>
      </c>
      <c r="C697" s="582">
        <v>180897000</v>
      </c>
      <c r="D697" s="817">
        <v>0</v>
      </c>
      <c r="E697" s="114">
        <f t="shared" si="60"/>
        <v>0</v>
      </c>
      <c r="F697" s="117">
        <f t="shared" si="61"/>
        <v>0</v>
      </c>
      <c r="G697" s="111"/>
    </row>
    <row r="698" spans="1:7" ht="20.100000000000001" customHeight="1" x14ac:dyDescent="0.25">
      <c r="A698" s="222"/>
      <c r="B698" s="268" t="s">
        <v>2078</v>
      </c>
      <c r="C698" s="582">
        <v>585179100</v>
      </c>
      <c r="D698" s="817">
        <v>584040000</v>
      </c>
      <c r="E698" s="114">
        <f t="shared" si="60"/>
        <v>99.805341646685605</v>
      </c>
      <c r="F698" s="117">
        <f t="shared" si="61"/>
        <v>99.805341646685605</v>
      </c>
      <c r="G698" s="111"/>
    </row>
    <row r="699" spans="1:7" ht="20.100000000000001" customHeight="1" x14ac:dyDescent="0.25">
      <c r="A699" s="222"/>
      <c r="B699" s="268" t="s">
        <v>2079</v>
      </c>
      <c r="C699" s="582">
        <v>9166800000</v>
      </c>
      <c r="D699" s="817">
        <v>7548300000</v>
      </c>
      <c r="E699" s="114">
        <f t="shared" si="60"/>
        <v>82.343893179735574</v>
      </c>
      <c r="F699" s="117">
        <f t="shared" si="61"/>
        <v>82.343893179735574</v>
      </c>
      <c r="G699" s="111"/>
    </row>
    <row r="700" spans="1:7" ht="29.25" customHeight="1" x14ac:dyDescent="0.25">
      <c r="A700" s="222"/>
      <c r="B700" s="268" t="s">
        <v>2080</v>
      </c>
      <c r="C700" s="582">
        <v>75686400</v>
      </c>
      <c r="D700" s="817">
        <v>75520000</v>
      </c>
      <c r="E700" s="114">
        <f t="shared" si="60"/>
        <v>99.780145442245896</v>
      </c>
      <c r="F700" s="117">
        <f t="shared" si="61"/>
        <v>99.780145442245896</v>
      </c>
      <c r="G700" s="111"/>
    </row>
    <row r="701" spans="1:7" ht="20.100000000000001" customHeight="1" x14ac:dyDescent="0.25">
      <c r="A701" s="222"/>
      <c r="B701" s="267" t="s">
        <v>2081</v>
      </c>
      <c r="C701" s="125">
        <v>4621357000</v>
      </c>
      <c r="D701" s="816">
        <f>SUM(D702:D704)</f>
        <v>3567420000</v>
      </c>
      <c r="E701" s="114">
        <f t="shared" si="60"/>
        <v>77.194209406457887</v>
      </c>
      <c r="F701" s="117">
        <v>20</v>
      </c>
      <c r="G701" s="111"/>
    </row>
    <row r="702" spans="1:7" ht="20.100000000000001" customHeight="1" x14ac:dyDescent="0.25">
      <c r="A702" s="222"/>
      <c r="B702" s="268" t="s">
        <v>2082</v>
      </c>
      <c r="C702" s="582">
        <v>1427257200</v>
      </c>
      <c r="D702" s="817">
        <v>455350000</v>
      </c>
      <c r="E702" s="114">
        <f t="shared" si="60"/>
        <v>31.903850266090792</v>
      </c>
      <c r="F702" s="117">
        <f t="shared" si="61"/>
        <v>31.903850266090792</v>
      </c>
      <c r="G702" s="111"/>
    </row>
    <row r="703" spans="1:7" ht="20.100000000000001" customHeight="1" x14ac:dyDescent="0.25">
      <c r="A703" s="222"/>
      <c r="B703" s="268" t="s">
        <v>2083</v>
      </c>
      <c r="C703" s="582">
        <v>2724220000</v>
      </c>
      <c r="D703" s="817">
        <v>2715270000</v>
      </c>
      <c r="E703" s="114">
        <f t="shared" si="60"/>
        <v>99.671465593821353</v>
      </c>
      <c r="F703" s="117">
        <f t="shared" si="61"/>
        <v>99.671465593821353</v>
      </c>
      <c r="G703" s="111"/>
    </row>
    <row r="704" spans="1:7" ht="20.100000000000001" customHeight="1" x14ac:dyDescent="0.25">
      <c r="A704" s="222"/>
      <c r="B704" s="268" t="s">
        <v>2084</v>
      </c>
      <c r="C704" s="582">
        <v>469879800</v>
      </c>
      <c r="D704" s="817">
        <v>396800000</v>
      </c>
      <c r="E704" s="114">
        <f t="shared" si="60"/>
        <v>84.4471288189022</v>
      </c>
      <c r="F704" s="117">
        <f t="shared" si="61"/>
        <v>84.4471288189022</v>
      </c>
      <c r="G704" s="111"/>
    </row>
    <row r="705" spans="1:7" ht="20.100000000000001" customHeight="1" x14ac:dyDescent="0.25">
      <c r="A705" s="222"/>
      <c r="B705" s="267" t="s">
        <v>916</v>
      </c>
      <c r="C705" s="125">
        <v>1290200000</v>
      </c>
      <c r="D705" s="816">
        <f>D706</f>
        <v>984876500</v>
      </c>
      <c r="E705" s="114">
        <f t="shared" si="60"/>
        <v>76.335180592156263</v>
      </c>
      <c r="F705" s="117">
        <f t="shared" si="61"/>
        <v>76.335180592156263</v>
      </c>
      <c r="G705" s="111"/>
    </row>
    <row r="706" spans="1:7" ht="20.100000000000001" customHeight="1" x14ac:dyDescent="0.25">
      <c r="A706" s="222"/>
      <c r="B706" s="268" t="s">
        <v>2084</v>
      </c>
      <c r="C706" s="582">
        <v>1290200000</v>
      </c>
      <c r="D706" s="818">
        <v>984876500</v>
      </c>
      <c r="E706" s="114">
        <f t="shared" si="60"/>
        <v>76.335180592156263</v>
      </c>
      <c r="F706" s="117">
        <f t="shared" si="61"/>
        <v>76.335180592156263</v>
      </c>
      <c r="G706" s="111"/>
    </row>
    <row r="707" spans="1:7" ht="20.100000000000001" customHeight="1" x14ac:dyDescent="0.25">
      <c r="A707" s="390"/>
      <c r="B707" s="267" t="s">
        <v>2085</v>
      </c>
      <c r="C707" s="125">
        <v>432000000</v>
      </c>
      <c r="D707" s="816">
        <f>D708</f>
        <v>0</v>
      </c>
      <c r="E707" s="114">
        <f t="shared" si="60"/>
        <v>0</v>
      </c>
      <c r="F707" s="117">
        <f t="shared" si="61"/>
        <v>0</v>
      </c>
      <c r="G707" s="111"/>
    </row>
    <row r="708" spans="1:7" ht="20.100000000000001" customHeight="1" x14ac:dyDescent="0.25">
      <c r="A708" s="222"/>
      <c r="B708" s="268" t="s">
        <v>2086</v>
      </c>
      <c r="C708" s="582">
        <v>432000000</v>
      </c>
      <c r="D708" s="818"/>
      <c r="E708" s="114">
        <f t="shared" si="60"/>
        <v>0</v>
      </c>
      <c r="F708" s="117">
        <f t="shared" si="61"/>
        <v>0</v>
      </c>
      <c r="G708" s="111"/>
    </row>
    <row r="709" spans="1:7" ht="20.100000000000001" customHeight="1" x14ac:dyDescent="0.25">
      <c r="A709" s="222"/>
      <c r="B709" s="267" t="s">
        <v>400</v>
      </c>
      <c r="C709" s="125">
        <v>500000000</v>
      </c>
      <c r="D709" s="816">
        <f>D710</f>
        <v>0</v>
      </c>
      <c r="E709" s="114">
        <f t="shared" si="60"/>
        <v>0</v>
      </c>
      <c r="F709" s="117">
        <f t="shared" si="61"/>
        <v>0</v>
      </c>
      <c r="G709" s="111"/>
    </row>
    <row r="710" spans="1:7" ht="20.100000000000001" customHeight="1" x14ac:dyDescent="0.25">
      <c r="A710" s="222"/>
      <c r="B710" s="268" t="s">
        <v>2087</v>
      </c>
      <c r="C710" s="582">
        <v>500000000</v>
      </c>
      <c r="D710" s="818"/>
      <c r="E710" s="114">
        <f t="shared" si="60"/>
        <v>0</v>
      </c>
      <c r="F710" s="117">
        <f t="shared" si="61"/>
        <v>0</v>
      </c>
      <c r="G710" s="111"/>
    </row>
    <row r="711" spans="1:7" ht="9.9499999999999993" customHeight="1" x14ac:dyDescent="0.25">
      <c r="A711" s="159"/>
      <c r="B711" s="111"/>
      <c r="C711" s="582"/>
      <c r="D711" s="819"/>
      <c r="E711" s="114"/>
      <c r="F711" s="117"/>
      <c r="G711" s="111"/>
    </row>
    <row r="712" spans="1:7" ht="20.100000000000001" customHeight="1" x14ac:dyDescent="0.25">
      <c r="A712" s="222"/>
      <c r="B712" s="269" t="s">
        <v>2144</v>
      </c>
      <c r="C712" s="582">
        <f>C713</f>
        <v>6370104000</v>
      </c>
      <c r="D712" s="819">
        <f>D713</f>
        <v>6370104000</v>
      </c>
      <c r="E712" s="114">
        <f t="shared" si="60"/>
        <v>100</v>
      </c>
      <c r="F712" s="114">
        <f>F713</f>
        <v>100</v>
      </c>
      <c r="G712" s="111"/>
    </row>
    <row r="713" spans="1:7" ht="20.100000000000001" customHeight="1" x14ac:dyDescent="0.25">
      <c r="A713" s="222"/>
      <c r="B713" s="269" t="s">
        <v>1043</v>
      </c>
      <c r="C713" s="582">
        <f>C714</f>
        <v>6370104000</v>
      </c>
      <c r="D713" s="819">
        <f>+D714</f>
        <v>6370104000</v>
      </c>
      <c r="E713" s="114">
        <f t="shared" si="60"/>
        <v>100</v>
      </c>
      <c r="F713" s="114">
        <f>+E713</f>
        <v>100</v>
      </c>
      <c r="G713" s="111"/>
    </row>
    <row r="714" spans="1:7" ht="20.100000000000001" customHeight="1" x14ac:dyDescent="0.25">
      <c r="A714" s="222"/>
      <c r="B714" s="268" t="s">
        <v>1810</v>
      </c>
      <c r="C714" s="582">
        <f>SUM(C715:C719)</f>
        <v>6370104000</v>
      </c>
      <c r="D714" s="818">
        <f>+D715+D716+D717+D718+D719</f>
        <v>6370104000</v>
      </c>
      <c r="E714" s="114">
        <f t="shared" si="60"/>
        <v>100</v>
      </c>
      <c r="F714" s="117">
        <f>+E714</f>
        <v>100</v>
      </c>
      <c r="G714" s="111"/>
    </row>
    <row r="715" spans="1:7" ht="20.100000000000001" customHeight="1" x14ac:dyDescent="0.25">
      <c r="A715" s="222"/>
      <c r="B715" s="268" t="s">
        <v>2147</v>
      </c>
      <c r="C715" s="582">
        <v>1793220000</v>
      </c>
      <c r="D715" s="818">
        <f>C715</f>
        <v>1793220000</v>
      </c>
      <c r="E715" s="114">
        <f t="shared" si="60"/>
        <v>100</v>
      </c>
      <c r="F715" s="117">
        <f>+E715</f>
        <v>100</v>
      </c>
      <c r="G715" s="111"/>
    </row>
    <row r="716" spans="1:7" ht="20.100000000000001" customHeight="1" x14ac:dyDescent="0.25">
      <c r="A716" s="222"/>
      <c r="B716" s="268" t="s">
        <v>2148</v>
      </c>
      <c r="C716" s="582">
        <v>636684000</v>
      </c>
      <c r="D716" s="818">
        <f>C716</f>
        <v>636684000</v>
      </c>
      <c r="E716" s="114">
        <f t="shared" si="60"/>
        <v>100</v>
      </c>
      <c r="F716" s="117">
        <f>+E716</f>
        <v>100</v>
      </c>
      <c r="G716" s="111"/>
    </row>
    <row r="717" spans="1:7" ht="20.100000000000001" customHeight="1" x14ac:dyDescent="0.25">
      <c r="A717" s="222"/>
      <c r="B717" s="268" t="s">
        <v>2149</v>
      </c>
      <c r="C717" s="582">
        <v>1683000000</v>
      </c>
      <c r="D717" s="818">
        <f>C717</f>
        <v>1683000000</v>
      </c>
      <c r="E717" s="114">
        <f t="shared" si="60"/>
        <v>100</v>
      </c>
      <c r="F717" s="117">
        <f>+E717</f>
        <v>100</v>
      </c>
      <c r="G717" s="111"/>
    </row>
    <row r="718" spans="1:7" ht="20.100000000000001" customHeight="1" x14ac:dyDescent="0.25">
      <c r="A718" s="222"/>
      <c r="B718" s="268" t="s">
        <v>2150</v>
      </c>
      <c r="C718" s="582">
        <v>300000000</v>
      </c>
      <c r="D718" s="817">
        <v>300000000</v>
      </c>
      <c r="E718" s="114">
        <f t="shared" si="60"/>
        <v>100</v>
      </c>
      <c r="F718" s="117">
        <v>100</v>
      </c>
      <c r="G718" s="111"/>
    </row>
    <row r="719" spans="1:7" ht="29.25" customHeight="1" x14ac:dyDescent="0.25">
      <c r="A719" s="222"/>
      <c r="B719" s="268" t="s">
        <v>1379</v>
      </c>
      <c r="C719" s="582">
        <v>1957200000</v>
      </c>
      <c r="D719" s="818">
        <f>C719</f>
        <v>1957200000</v>
      </c>
      <c r="E719" s="114">
        <f t="shared" si="60"/>
        <v>100</v>
      </c>
      <c r="F719" s="117">
        <f>+E719</f>
        <v>100</v>
      </c>
      <c r="G719" s="111"/>
    </row>
    <row r="720" spans="1:7" ht="9.9499999999999993" customHeight="1" x14ac:dyDescent="0.25">
      <c r="A720" s="159"/>
      <c r="B720" s="535"/>
      <c r="C720" s="617"/>
      <c r="D720" s="820"/>
      <c r="E720" s="117"/>
      <c r="F720" s="117"/>
      <c r="G720" s="111"/>
    </row>
    <row r="721" spans="1:8" s="115" customFormat="1" ht="20.100000000000001" customHeight="1" x14ac:dyDescent="0.25">
      <c r="A721" s="159">
        <v>11</v>
      </c>
      <c r="B721" s="217" t="s">
        <v>2151</v>
      </c>
      <c r="C721" s="125">
        <f>+C722+C754</f>
        <v>32252150200</v>
      </c>
      <c r="D721" s="779">
        <f>+D722+D754</f>
        <v>28933595064</v>
      </c>
      <c r="E721" s="114">
        <f>+D721/C721*100</f>
        <v>89.710592579343754</v>
      </c>
      <c r="F721" s="114">
        <f>(F722+F754)/2</f>
        <v>66.44583333333334</v>
      </c>
      <c r="G721" s="125"/>
      <c r="H721" s="324"/>
    </row>
    <row r="722" spans="1:8" ht="20.100000000000001" customHeight="1" x14ac:dyDescent="0.25">
      <c r="A722" s="159"/>
      <c r="B722" s="447" t="s">
        <v>2152</v>
      </c>
      <c r="C722" s="448">
        <f>+C723+C726+C737+C746+C751</f>
        <v>30752150200</v>
      </c>
      <c r="D722" s="254">
        <f>+D723+D737+D746+D751+D726</f>
        <v>28239895064</v>
      </c>
      <c r="E722" s="114">
        <f t="shared" ref="E722:E752" si="62">+D722/C722*100</f>
        <v>91.830635842823114</v>
      </c>
      <c r="F722" s="449">
        <f>(+F723+F726+F737+F746+F751)/5</f>
        <v>86.64500000000001</v>
      </c>
      <c r="G722" s="112"/>
    </row>
    <row r="723" spans="1:8" ht="20.100000000000001" customHeight="1" x14ac:dyDescent="0.25">
      <c r="A723" s="159"/>
      <c r="B723" s="450" t="s">
        <v>1862</v>
      </c>
      <c r="C723" s="451">
        <f>+C724+C725</f>
        <v>1561350000</v>
      </c>
      <c r="D723" s="113">
        <f>SUM(D724:D725)</f>
        <v>1558600000</v>
      </c>
      <c r="E723" s="114">
        <f t="shared" si="62"/>
        <v>99.823870368591287</v>
      </c>
      <c r="F723" s="452">
        <f>(F724+F724)/2</f>
        <v>100</v>
      </c>
      <c r="G723" s="120"/>
    </row>
    <row r="724" spans="1:8" ht="20.100000000000001" customHeight="1" x14ac:dyDescent="0.25">
      <c r="A724" s="159"/>
      <c r="B724" s="453" t="s">
        <v>2153</v>
      </c>
      <c r="C724" s="454">
        <v>559350000</v>
      </c>
      <c r="D724" s="253">
        <v>556600000</v>
      </c>
      <c r="E724" s="117">
        <f t="shared" si="62"/>
        <v>99.508357915437557</v>
      </c>
      <c r="F724" s="455">
        <v>100</v>
      </c>
      <c r="G724" s="107"/>
    </row>
    <row r="725" spans="1:8" ht="20.100000000000001" customHeight="1" x14ac:dyDescent="0.25">
      <c r="A725" s="159"/>
      <c r="B725" s="453" t="s">
        <v>2154</v>
      </c>
      <c r="C725" s="456">
        <v>1002000000</v>
      </c>
      <c r="D725" s="253">
        <v>1002000000</v>
      </c>
      <c r="E725" s="117">
        <f t="shared" si="62"/>
        <v>100</v>
      </c>
      <c r="F725" s="455">
        <v>100</v>
      </c>
      <c r="G725" s="107"/>
    </row>
    <row r="726" spans="1:8" ht="20.100000000000001" customHeight="1" x14ac:dyDescent="0.25">
      <c r="A726" s="159"/>
      <c r="B726" s="450" t="s">
        <v>1870</v>
      </c>
      <c r="C726" s="451">
        <f>SUM(C727:C736)</f>
        <v>18249820322</v>
      </c>
      <c r="D726" s="254">
        <f>SUM(D727:D736)</f>
        <v>16952383766</v>
      </c>
      <c r="E726" s="114">
        <f t="shared" si="62"/>
        <v>92.890688603460106</v>
      </c>
      <c r="F726" s="452">
        <f>SUM(F727:F736)/10</f>
        <v>82.1</v>
      </c>
      <c r="G726" s="120"/>
    </row>
    <row r="727" spans="1:8" ht="20.100000000000001" customHeight="1" x14ac:dyDescent="0.25">
      <c r="A727" s="159"/>
      <c r="B727" s="453" t="s">
        <v>2155</v>
      </c>
      <c r="C727" s="456">
        <v>1336500000</v>
      </c>
      <c r="D727" s="253">
        <v>1331000000</v>
      </c>
      <c r="E727" s="117">
        <f t="shared" si="62"/>
        <v>99.588477366255148</v>
      </c>
      <c r="F727" s="455">
        <v>100</v>
      </c>
      <c r="G727" s="107"/>
    </row>
    <row r="728" spans="1:8" ht="20.100000000000001" customHeight="1" x14ac:dyDescent="0.25">
      <c r="A728" s="159"/>
      <c r="B728" s="453" t="s">
        <v>2156</v>
      </c>
      <c r="C728" s="456">
        <v>4279653766</v>
      </c>
      <c r="D728" s="253">
        <f>+C728</f>
        <v>4279653766</v>
      </c>
      <c r="E728" s="117">
        <f t="shared" si="62"/>
        <v>100</v>
      </c>
      <c r="F728" s="455">
        <v>100</v>
      </c>
      <c r="G728" s="107"/>
    </row>
    <row r="729" spans="1:8" ht="20.100000000000001" customHeight="1" x14ac:dyDescent="0.25">
      <c r="A729" s="159"/>
      <c r="B729" s="453" t="s">
        <v>2157</v>
      </c>
      <c r="C729" s="456">
        <v>378000000</v>
      </c>
      <c r="D729" s="253">
        <v>377000000</v>
      </c>
      <c r="E729" s="117">
        <f t="shared" si="62"/>
        <v>99.735449735449734</v>
      </c>
      <c r="F729" s="455">
        <v>100</v>
      </c>
      <c r="G729" s="107"/>
    </row>
    <row r="730" spans="1:8" ht="20.100000000000001" customHeight="1" x14ac:dyDescent="0.25">
      <c r="A730" s="159"/>
      <c r="B730" s="453" t="s">
        <v>2158</v>
      </c>
      <c r="C730" s="456">
        <v>487699500</v>
      </c>
      <c r="D730" s="253">
        <v>484000000</v>
      </c>
      <c r="E730" s="117">
        <f t="shared" si="62"/>
        <v>99.241438631780426</v>
      </c>
      <c r="F730" s="455">
        <v>99</v>
      </c>
      <c r="G730" s="107"/>
    </row>
    <row r="731" spans="1:8" ht="20.100000000000001" customHeight="1" x14ac:dyDescent="0.25">
      <c r="A731" s="159"/>
      <c r="B731" s="453" t="s">
        <v>2159</v>
      </c>
      <c r="C731" s="456">
        <v>1106700000</v>
      </c>
      <c r="D731" s="253">
        <v>1098680000</v>
      </c>
      <c r="E731" s="117">
        <f t="shared" si="62"/>
        <v>99.275323032438777</v>
      </c>
      <c r="F731" s="455">
        <v>99</v>
      </c>
      <c r="G731" s="107"/>
    </row>
    <row r="732" spans="1:8" ht="20.100000000000001" customHeight="1" x14ac:dyDescent="0.25">
      <c r="A732" s="159"/>
      <c r="B732" s="453" t="s">
        <v>2160</v>
      </c>
      <c r="C732" s="456">
        <v>794470000</v>
      </c>
      <c r="D732" s="253">
        <v>791300000</v>
      </c>
      <c r="E732" s="117">
        <f t="shared" si="62"/>
        <v>99.600991856206022</v>
      </c>
      <c r="F732" s="455">
        <v>100</v>
      </c>
      <c r="G732" s="107"/>
    </row>
    <row r="733" spans="1:8" ht="20.100000000000001" customHeight="1" x14ac:dyDescent="0.25">
      <c r="A733" s="159"/>
      <c r="B733" s="453" t="s">
        <v>2161</v>
      </c>
      <c r="C733" s="456">
        <v>2539997056</v>
      </c>
      <c r="D733" s="253">
        <v>2528600000</v>
      </c>
      <c r="E733" s="117">
        <f t="shared" si="62"/>
        <v>99.551296487801906</v>
      </c>
      <c r="F733" s="455">
        <v>100</v>
      </c>
      <c r="G733" s="107"/>
    </row>
    <row r="734" spans="1:8" ht="20.100000000000001" customHeight="1" x14ac:dyDescent="0.25">
      <c r="A734" s="159"/>
      <c r="B734" s="453" t="s">
        <v>2162</v>
      </c>
      <c r="C734" s="456">
        <v>412000000</v>
      </c>
      <c r="D734" s="253"/>
      <c r="E734" s="117">
        <f t="shared" si="62"/>
        <v>0</v>
      </c>
      <c r="F734" s="455"/>
      <c r="G734" s="107"/>
    </row>
    <row r="735" spans="1:8" ht="20.100000000000001" customHeight="1" x14ac:dyDescent="0.25">
      <c r="A735" s="159"/>
      <c r="B735" s="453" t="s">
        <v>2163</v>
      </c>
      <c r="C735" s="456">
        <v>550000000</v>
      </c>
      <c r="D735" s="253">
        <v>166000000</v>
      </c>
      <c r="E735" s="117">
        <f t="shared" si="62"/>
        <v>30.181818181818183</v>
      </c>
      <c r="F735" s="455">
        <v>30</v>
      </c>
      <c r="G735" s="107"/>
    </row>
    <row r="736" spans="1:8" ht="20.100000000000001" customHeight="1" x14ac:dyDescent="0.25">
      <c r="A736" s="159"/>
      <c r="B736" s="453" t="s">
        <v>2164</v>
      </c>
      <c r="C736" s="456">
        <v>6364800000</v>
      </c>
      <c r="D736" s="253">
        <v>5896150000</v>
      </c>
      <c r="E736" s="117">
        <f t="shared" si="62"/>
        <v>92.636846405228752</v>
      </c>
      <c r="F736" s="455">
        <v>93</v>
      </c>
      <c r="G736" s="107"/>
    </row>
    <row r="737" spans="1:30" ht="20.100000000000001" customHeight="1" x14ac:dyDescent="0.25">
      <c r="A737" s="159"/>
      <c r="B737" s="450" t="s">
        <v>2165</v>
      </c>
      <c r="C737" s="451">
        <f>SUM(C738:C745)</f>
        <v>4626399998</v>
      </c>
      <c r="D737" s="254">
        <f>+D738+D739+D740+D741+D743+D744+D745</f>
        <v>4019351998</v>
      </c>
      <c r="E737" s="114">
        <f t="shared" si="62"/>
        <v>86.878609712466982</v>
      </c>
      <c r="F737" s="452">
        <f>SUM(F738:F745)/8</f>
        <v>74.875</v>
      </c>
      <c r="G737" s="120"/>
    </row>
    <row r="738" spans="1:30" ht="20.100000000000001" customHeight="1" x14ac:dyDescent="0.25">
      <c r="A738" s="159"/>
      <c r="B738" s="453" t="s">
        <v>2155</v>
      </c>
      <c r="C738" s="456">
        <v>972000000</v>
      </c>
      <c r="D738" s="253">
        <v>965800000</v>
      </c>
      <c r="E738" s="117">
        <f t="shared" si="62"/>
        <v>99.362139917695472</v>
      </c>
      <c r="F738" s="455">
        <v>99</v>
      </c>
      <c r="G738" s="107"/>
    </row>
    <row r="739" spans="1:30" ht="20.100000000000001" customHeight="1" x14ac:dyDescent="0.25">
      <c r="A739" s="159"/>
      <c r="B739" s="453" t="s">
        <v>2166</v>
      </c>
      <c r="C739" s="456">
        <v>309600000</v>
      </c>
      <c r="D739" s="253">
        <v>305800000</v>
      </c>
      <c r="E739" s="117">
        <f t="shared" si="62"/>
        <v>98.772609819121442</v>
      </c>
      <c r="F739" s="455">
        <v>99</v>
      </c>
      <c r="G739" s="107"/>
    </row>
    <row r="740" spans="1:30" ht="20.100000000000001" customHeight="1" x14ac:dyDescent="0.25">
      <c r="A740" s="159"/>
      <c r="B740" s="453" t="s">
        <v>2157</v>
      </c>
      <c r="C740" s="456">
        <v>486000000</v>
      </c>
      <c r="D740" s="253">
        <v>485000000</v>
      </c>
      <c r="E740" s="117">
        <f t="shared" si="62"/>
        <v>99.794238683127574</v>
      </c>
      <c r="F740" s="455">
        <v>100</v>
      </c>
      <c r="G740" s="107"/>
    </row>
    <row r="741" spans="1:30" ht="20.100000000000001" customHeight="1" x14ac:dyDescent="0.25">
      <c r="A741" s="159"/>
      <c r="B741" s="453" t="s">
        <v>2160</v>
      </c>
      <c r="C741" s="456">
        <v>259999998</v>
      </c>
      <c r="D741" s="253">
        <f>+C741</f>
        <v>259999998</v>
      </c>
      <c r="E741" s="117">
        <f t="shared" si="62"/>
        <v>100</v>
      </c>
      <c r="F741" s="455">
        <v>99</v>
      </c>
      <c r="G741" s="107"/>
    </row>
    <row r="742" spans="1:30" s="104" customFormat="1" ht="29.25" customHeight="1" x14ac:dyDescent="0.25">
      <c r="A742" s="159"/>
      <c r="B742" s="453" t="s">
        <v>2167</v>
      </c>
      <c r="C742" s="456">
        <v>249000000</v>
      </c>
      <c r="D742" s="253"/>
      <c r="E742" s="117"/>
      <c r="F742" s="455"/>
      <c r="G742" s="107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  <c r="AA742" s="80"/>
      <c r="AB742" s="80"/>
      <c r="AC742" s="80"/>
      <c r="AD742" s="80"/>
    </row>
    <row r="743" spans="1:30" ht="20.100000000000001" customHeight="1" x14ac:dyDescent="0.25">
      <c r="A743" s="159"/>
      <c r="B743" s="453" t="s">
        <v>2168</v>
      </c>
      <c r="C743" s="456">
        <v>278500000</v>
      </c>
      <c r="D743" s="253">
        <v>76000000</v>
      </c>
      <c r="E743" s="117">
        <f t="shared" si="62"/>
        <v>27.289048473967686</v>
      </c>
      <c r="F743" s="455">
        <v>27</v>
      </c>
      <c r="G743" s="107"/>
    </row>
    <row r="744" spans="1:30" ht="20.100000000000001" customHeight="1" x14ac:dyDescent="0.25">
      <c r="A744" s="159"/>
      <c r="B744" s="453" t="s">
        <v>2169</v>
      </c>
      <c r="C744" s="456">
        <v>367300000</v>
      </c>
      <c r="D744" s="253">
        <v>288552000</v>
      </c>
      <c r="E744" s="117">
        <f t="shared" si="62"/>
        <v>78.560304927851888</v>
      </c>
      <c r="F744" s="455">
        <v>79</v>
      </c>
      <c r="G744" s="107"/>
    </row>
    <row r="745" spans="1:30" ht="20.100000000000001" customHeight="1" x14ac:dyDescent="0.25">
      <c r="A745" s="159"/>
      <c r="B745" s="453" t="s">
        <v>2170</v>
      </c>
      <c r="C745" s="456">
        <v>1704000000</v>
      </c>
      <c r="D745" s="253">
        <v>1638200000</v>
      </c>
      <c r="E745" s="117">
        <f t="shared" si="62"/>
        <v>96.13849765258216</v>
      </c>
      <c r="F745" s="455">
        <v>96</v>
      </c>
      <c r="G745" s="107"/>
    </row>
    <row r="746" spans="1:30" ht="20.100000000000001" customHeight="1" x14ac:dyDescent="0.25">
      <c r="A746" s="159"/>
      <c r="B746" s="450" t="s">
        <v>1885</v>
      </c>
      <c r="C746" s="451">
        <f>SUM(C747:C750)</f>
        <v>3193779880</v>
      </c>
      <c r="D746" s="254">
        <f>+D747+D748+D749+D750</f>
        <v>2588759300</v>
      </c>
      <c r="E746" s="114">
        <f t="shared" si="62"/>
        <v>81.05628431725232</v>
      </c>
      <c r="F746" s="452">
        <f>SUM(F747:F750)/4</f>
        <v>76.25</v>
      </c>
      <c r="G746" s="107"/>
    </row>
    <row r="747" spans="1:30" ht="20.100000000000001" customHeight="1" x14ac:dyDescent="0.25">
      <c r="A747" s="159"/>
      <c r="B747" s="453" t="s">
        <v>2171</v>
      </c>
      <c r="C747" s="458">
        <v>300000000</v>
      </c>
      <c r="D747" s="253">
        <v>264439300</v>
      </c>
      <c r="E747" s="117">
        <f t="shared" si="62"/>
        <v>88.146433333333334</v>
      </c>
      <c r="F747" s="455">
        <v>88</v>
      </c>
      <c r="G747" s="120"/>
    </row>
    <row r="748" spans="1:30" ht="20.100000000000001" customHeight="1" x14ac:dyDescent="0.25">
      <c r="A748" s="159"/>
      <c r="B748" s="453" t="s">
        <v>2172</v>
      </c>
      <c r="C748" s="456">
        <v>375000000</v>
      </c>
      <c r="D748" s="253">
        <v>225000000</v>
      </c>
      <c r="E748" s="117">
        <f t="shared" si="62"/>
        <v>60</v>
      </c>
      <c r="F748" s="455">
        <v>60</v>
      </c>
      <c r="G748" s="107"/>
    </row>
    <row r="749" spans="1:30" ht="20.100000000000001" customHeight="1" x14ac:dyDescent="0.25">
      <c r="A749" s="159"/>
      <c r="B749" s="453" t="s">
        <v>2173</v>
      </c>
      <c r="C749" s="456">
        <v>1543779880</v>
      </c>
      <c r="D749" s="253">
        <v>1540000000</v>
      </c>
      <c r="E749" s="117">
        <f t="shared" si="62"/>
        <v>99.755154212788426</v>
      </c>
      <c r="F749" s="455">
        <v>100</v>
      </c>
      <c r="G749" s="107"/>
    </row>
    <row r="750" spans="1:30" ht="20.100000000000001" customHeight="1" x14ac:dyDescent="0.25">
      <c r="A750" s="159"/>
      <c r="B750" s="453" t="s">
        <v>2174</v>
      </c>
      <c r="C750" s="456">
        <v>975000000</v>
      </c>
      <c r="D750" s="253">
        <v>559320000</v>
      </c>
      <c r="E750" s="117">
        <f t="shared" si="62"/>
        <v>57.366153846153843</v>
      </c>
      <c r="F750" s="455">
        <v>57</v>
      </c>
      <c r="G750" s="107"/>
    </row>
    <row r="751" spans="1:30" ht="20.100000000000001" customHeight="1" x14ac:dyDescent="0.25">
      <c r="A751" s="159"/>
      <c r="B751" s="450" t="s">
        <v>2175</v>
      </c>
      <c r="C751" s="451">
        <f>+C752</f>
        <v>3120800000</v>
      </c>
      <c r="D751" s="254">
        <f>+D752</f>
        <v>3120800000</v>
      </c>
      <c r="E751" s="114">
        <f t="shared" si="62"/>
        <v>100</v>
      </c>
      <c r="F751" s="452">
        <f>+F752</f>
        <v>100</v>
      </c>
      <c r="G751" s="107"/>
    </row>
    <row r="752" spans="1:30" ht="20.100000000000001" customHeight="1" x14ac:dyDescent="0.25">
      <c r="A752" s="159"/>
      <c r="B752" s="453" t="s">
        <v>2176</v>
      </c>
      <c r="C752" s="456">
        <v>3120800000</v>
      </c>
      <c r="D752" s="253">
        <v>3120800000</v>
      </c>
      <c r="E752" s="117">
        <f t="shared" si="62"/>
        <v>100</v>
      </c>
      <c r="F752" s="455">
        <v>100</v>
      </c>
      <c r="G752" s="120"/>
    </row>
    <row r="753" spans="1:9" ht="20.100000000000001" customHeight="1" x14ac:dyDescent="0.25">
      <c r="A753" s="159"/>
      <c r="B753" s="453"/>
      <c r="C753" s="456"/>
      <c r="D753" s="253"/>
      <c r="E753" s="117"/>
      <c r="F753" s="455"/>
      <c r="G753" s="107"/>
    </row>
    <row r="754" spans="1:9" ht="20.100000000000001" customHeight="1" x14ac:dyDescent="0.25">
      <c r="A754" s="159"/>
      <c r="B754" s="48" t="s">
        <v>2225</v>
      </c>
      <c r="C754" s="120">
        <f>+C755+C757</f>
        <v>1500000000</v>
      </c>
      <c r="D754" s="254">
        <f>+D755+D757</f>
        <v>693700000</v>
      </c>
      <c r="E754" s="114">
        <f>+D754/C754*100</f>
        <v>46.24666666666667</v>
      </c>
      <c r="F754" s="452">
        <f>+E754</f>
        <v>46.24666666666667</v>
      </c>
      <c r="G754" s="582"/>
    </row>
    <row r="755" spans="1:9" ht="20.100000000000001" customHeight="1" x14ac:dyDescent="0.25">
      <c r="A755" s="159"/>
      <c r="B755" s="121" t="s">
        <v>4182</v>
      </c>
      <c r="C755" s="112">
        <f>+C756</f>
        <v>806300000</v>
      </c>
      <c r="D755" s="253"/>
      <c r="E755" s="117"/>
      <c r="F755" s="455"/>
      <c r="G755" s="120"/>
    </row>
    <row r="756" spans="1:9" ht="20.100000000000001" customHeight="1" x14ac:dyDescent="0.25">
      <c r="A756" s="159"/>
      <c r="B756" s="111" t="s">
        <v>4183</v>
      </c>
      <c r="C756" s="107">
        <v>806300000</v>
      </c>
      <c r="D756" s="253"/>
      <c r="E756" s="117"/>
      <c r="F756" s="455"/>
      <c r="G756" s="112"/>
    </row>
    <row r="757" spans="1:9" ht="20.100000000000001" customHeight="1" x14ac:dyDescent="0.25">
      <c r="A757" s="159"/>
      <c r="B757" s="121" t="s">
        <v>1895</v>
      </c>
      <c r="C757" s="120">
        <f>+C758</f>
        <v>693700000</v>
      </c>
      <c r="D757" s="254">
        <f>+D758</f>
        <v>693700000</v>
      </c>
      <c r="E757" s="114">
        <f>+E758</f>
        <v>100</v>
      </c>
      <c r="F757" s="452">
        <f>+F758</f>
        <v>100</v>
      </c>
      <c r="G757" s="107"/>
    </row>
    <row r="758" spans="1:9" ht="20.100000000000001" customHeight="1" x14ac:dyDescent="0.25">
      <c r="A758" s="159"/>
      <c r="B758" s="111" t="s">
        <v>4184</v>
      </c>
      <c r="C758" s="107">
        <v>693700000</v>
      </c>
      <c r="D758" s="253">
        <f>+C758</f>
        <v>693700000</v>
      </c>
      <c r="E758" s="117">
        <f t="shared" ref="E758" si="63">+D758/C758*100</f>
        <v>100</v>
      </c>
      <c r="F758" s="455">
        <v>100</v>
      </c>
      <c r="G758" s="120"/>
    </row>
    <row r="759" spans="1:9" ht="9.9499999999999993" customHeight="1" x14ac:dyDescent="0.25">
      <c r="A759" s="159"/>
      <c r="B759" s="535"/>
      <c r="C759" s="582"/>
      <c r="D759" s="778"/>
      <c r="E759" s="117"/>
      <c r="F759" s="117"/>
      <c r="G759" s="111"/>
    </row>
    <row r="760" spans="1:9" s="115" customFormat="1" ht="20.100000000000001" customHeight="1" x14ac:dyDescent="0.25">
      <c r="A760" s="159">
        <v>12</v>
      </c>
      <c r="B760" s="217" t="s">
        <v>2259</v>
      </c>
      <c r="C760" s="595">
        <f>+C761+C785</f>
        <v>31705847774.479996</v>
      </c>
      <c r="D760" s="779">
        <f>+D761+D785</f>
        <v>30091970142</v>
      </c>
      <c r="E760" s="114">
        <f>+D760/C760*100</f>
        <v>94.909842361070673</v>
      </c>
      <c r="F760" s="114">
        <f>(F761+F785)/2</f>
        <v>97.411904370506861</v>
      </c>
      <c r="G760" s="593"/>
      <c r="H760" s="324"/>
    </row>
    <row r="761" spans="1:9" ht="20.100000000000001" customHeight="1" x14ac:dyDescent="0.25">
      <c r="A761" s="159"/>
      <c r="B761" s="217" t="s">
        <v>2260</v>
      </c>
      <c r="C761" s="125">
        <f>C762+C764+C771+C779+C782</f>
        <v>25098315660.479996</v>
      </c>
      <c r="D761" s="811">
        <f>D762+D764+D771+D779+D782</f>
        <v>23484438028</v>
      </c>
      <c r="E761" s="114">
        <f t="shared" ref="E761:E783" si="64">+D761/C761*100</f>
        <v>93.569777134402614</v>
      </c>
      <c r="F761" s="114">
        <f>(F762+F764+F771+F779+F782)/5</f>
        <v>94.823808741013721</v>
      </c>
      <c r="G761" s="125"/>
    </row>
    <row r="762" spans="1:9" ht="20.100000000000001" customHeight="1" x14ac:dyDescent="0.25">
      <c r="A762" s="159"/>
      <c r="B762" s="217" t="s">
        <v>1862</v>
      </c>
      <c r="C762" s="125">
        <f>C763</f>
        <v>1642520000</v>
      </c>
      <c r="D762" s="811">
        <f>D763</f>
        <v>1630080000</v>
      </c>
      <c r="E762" s="114">
        <f t="shared" si="64"/>
        <v>99.242627182621817</v>
      </c>
      <c r="F762" s="114">
        <v>100</v>
      </c>
      <c r="G762" s="125"/>
    </row>
    <row r="763" spans="1:9" ht="20.100000000000001" customHeight="1" x14ac:dyDescent="0.25">
      <c r="A763" s="159"/>
      <c r="B763" s="119" t="s">
        <v>2261</v>
      </c>
      <c r="C763" s="582">
        <v>1642520000</v>
      </c>
      <c r="D763" s="793">
        <v>1630080000</v>
      </c>
      <c r="E763" s="117">
        <f t="shared" si="64"/>
        <v>99.242627182621817</v>
      </c>
      <c r="F763" s="117">
        <v>100</v>
      </c>
      <c r="G763" s="582"/>
    </row>
    <row r="764" spans="1:9" ht="20.100000000000001" customHeight="1" x14ac:dyDescent="0.25">
      <c r="A764" s="159"/>
      <c r="B764" s="217" t="s">
        <v>1870</v>
      </c>
      <c r="C764" s="125">
        <f>SUM(C765:C770)</f>
        <v>12115725057.709999</v>
      </c>
      <c r="D764" s="811">
        <f>SUM(D765:D770)</f>
        <v>11285551813</v>
      </c>
      <c r="E764" s="114">
        <f t="shared" si="64"/>
        <v>93.147968934952786</v>
      </c>
      <c r="F764" s="114">
        <v>80.949390687473198</v>
      </c>
      <c r="G764" s="125"/>
    </row>
    <row r="765" spans="1:9" ht="20.100000000000001" customHeight="1" x14ac:dyDescent="0.25">
      <c r="A765" s="159"/>
      <c r="B765" s="119" t="s">
        <v>2262</v>
      </c>
      <c r="C765" s="582">
        <v>246161890</v>
      </c>
      <c r="D765" s="793">
        <v>242702300</v>
      </c>
      <c r="E765" s="117">
        <f t="shared" si="64"/>
        <v>98.594587488745717</v>
      </c>
      <c r="F765" s="117">
        <v>100</v>
      </c>
      <c r="G765" s="582"/>
    </row>
    <row r="766" spans="1:9" ht="20.100000000000001" customHeight="1" x14ac:dyDescent="0.25">
      <c r="A766" s="159"/>
      <c r="B766" s="119" t="s">
        <v>2261</v>
      </c>
      <c r="C766" s="582">
        <v>117500000</v>
      </c>
      <c r="D766" s="793">
        <v>116700000</v>
      </c>
      <c r="E766" s="117">
        <f t="shared" si="64"/>
        <v>99.319148936170208</v>
      </c>
      <c r="F766" s="117">
        <v>32.765957446808514</v>
      </c>
      <c r="G766" s="582"/>
    </row>
    <row r="767" spans="1:9" ht="20.100000000000001" customHeight="1" x14ac:dyDescent="0.25">
      <c r="A767" s="159"/>
      <c r="B767" s="119" t="s">
        <v>2263</v>
      </c>
      <c r="C767" s="582">
        <v>717758000</v>
      </c>
      <c r="D767" s="793">
        <v>717758000</v>
      </c>
      <c r="E767" s="117">
        <f t="shared" si="64"/>
        <v>100</v>
      </c>
      <c r="F767" s="117">
        <v>37.793741065930298</v>
      </c>
      <c r="G767" s="582"/>
    </row>
    <row r="768" spans="1:9" ht="20.100000000000001" customHeight="1" x14ac:dyDescent="0.25">
      <c r="A768" s="159"/>
      <c r="B768" s="119" t="s">
        <v>2264</v>
      </c>
      <c r="C768" s="582">
        <v>10922036345</v>
      </c>
      <c r="D768" s="793">
        <v>10208391513</v>
      </c>
      <c r="E768" s="117">
        <f t="shared" si="64"/>
        <v>93.466009364392022</v>
      </c>
      <c r="F768" s="117">
        <v>84.091341212991694</v>
      </c>
      <c r="G768" s="582"/>
      <c r="I768" s="144"/>
    </row>
    <row r="769" spans="1:9" ht="20.100000000000001" customHeight="1" x14ac:dyDescent="0.25">
      <c r="A769" s="159"/>
      <c r="B769" s="119" t="s">
        <v>2265</v>
      </c>
      <c r="C769" s="582">
        <v>5724000</v>
      </c>
      <c r="D769" s="793">
        <v>0</v>
      </c>
      <c r="E769" s="114">
        <f t="shared" si="64"/>
        <v>0</v>
      </c>
      <c r="F769" s="114"/>
      <c r="G769" s="582"/>
      <c r="I769" s="141"/>
    </row>
    <row r="770" spans="1:9" ht="20.100000000000001" customHeight="1" x14ac:dyDescent="0.25">
      <c r="A770" s="159"/>
      <c r="B770" s="119" t="s">
        <v>2266</v>
      </c>
      <c r="C770" s="582">
        <v>106544822.70999999</v>
      </c>
      <c r="D770" s="793">
        <v>0</v>
      </c>
      <c r="E770" s="114">
        <f t="shared" si="64"/>
        <v>0</v>
      </c>
      <c r="F770" s="114"/>
      <c r="G770" s="582"/>
    </row>
    <row r="771" spans="1:9" ht="20.100000000000001" customHeight="1" x14ac:dyDescent="0.25">
      <c r="A771" s="159"/>
      <c r="B771" s="217" t="s">
        <v>2165</v>
      </c>
      <c r="C771" s="125">
        <f>SUM(C772:C778)</f>
        <v>9539776395.0199986</v>
      </c>
      <c r="D771" s="811">
        <f>SUM(D772:D778)</f>
        <v>8776231560</v>
      </c>
      <c r="E771" s="114">
        <f t="shared" si="64"/>
        <v>91.996197778612625</v>
      </c>
      <c r="F771" s="114">
        <f>SUM(F772:F778)/7</f>
        <v>93.4553673033097</v>
      </c>
      <c r="G771" s="125"/>
    </row>
    <row r="772" spans="1:9" ht="20.100000000000001" customHeight="1" x14ac:dyDescent="0.25">
      <c r="A772" s="159"/>
      <c r="B772" s="119" t="s">
        <v>2267</v>
      </c>
      <c r="C772" s="582">
        <v>2605580899.6399999</v>
      </c>
      <c r="D772" s="793">
        <v>2091502440</v>
      </c>
      <c r="E772" s="117">
        <f t="shared" si="64"/>
        <v>80.270101776113435</v>
      </c>
      <c r="F772" s="117">
        <v>99.389914175599145</v>
      </c>
      <c r="G772" s="582"/>
    </row>
    <row r="773" spans="1:9" ht="20.100000000000001" customHeight="1" x14ac:dyDescent="0.25">
      <c r="A773" s="159"/>
      <c r="B773" s="119" t="s">
        <v>2262</v>
      </c>
      <c r="C773" s="582">
        <v>57600000</v>
      </c>
      <c r="D773" s="793">
        <f>+C773</f>
        <v>57600000</v>
      </c>
      <c r="E773" s="117">
        <f t="shared" si="64"/>
        <v>100</v>
      </c>
      <c r="F773" s="117">
        <f>+E773</f>
        <v>100</v>
      </c>
      <c r="G773" s="582"/>
    </row>
    <row r="774" spans="1:9" ht="20.100000000000001" customHeight="1" x14ac:dyDescent="0.25">
      <c r="A774" s="159"/>
      <c r="B774" s="119" t="s">
        <v>2268</v>
      </c>
      <c r="C774" s="582">
        <v>4328802922.6599998</v>
      </c>
      <c r="D774" s="793">
        <v>4328802922</v>
      </c>
      <c r="E774" s="117">
        <f t="shared" si="64"/>
        <v>99.999999984753302</v>
      </c>
      <c r="F774" s="117">
        <v>77.683318104618721</v>
      </c>
      <c r="G774" s="582"/>
    </row>
    <row r="775" spans="1:9" ht="20.100000000000001" customHeight="1" x14ac:dyDescent="0.25">
      <c r="A775" s="159"/>
      <c r="B775" s="119" t="s">
        <v>2269</v>
      </c>
      <c r="C775" s="582">
        <v>1944000000</v>
      </c>
      <c r="D775" s="793">
        <v>1944000000</v>
      </c>
      <c r="E775" s="117">
        <f t="shared" si="64"/>
        <v>100</v>
      </c>
      <c r="F775" s="117">
        <v>120</v>
      </c>
      <c r="G775" s="582"/>
    </row>
    <row r="776" spans="1:9" ht="20.100000000000001" customHeight="1" x14ac:dyDescent="0.25">
      <c r="A776" s="159"/>
      <c r="B776" s="119" t="s">
        <v>2270</v>
      </c>
      <c r="C776" s="582">
        <v>183784825.63</v>
      </c>
      <c r="D776" s="793">
        <v>182015900</v>
      </c>
      <c r="E776" s="117">
        <f t="shared" si="64"/>
        <v>99.03750180465866</v>
      </c>
      <c r="F776" s="117">
        <f>+E776</f>
        <v>99.03750180465866</v>
      </c>
      <c r="G776" s="582"/>
    </row>
    <row r="777" spans="1:9" ht="20.100000000000001" customHeight="1" x14ac:dyDescent="0.25">
      <c r="A777" s="159"/>
      <c r="B777" s="119" t="s">
        <v>2271</v>
      </c>
      <c r="C777" s="582">
        <v>20000000</v>
      </c>
      <c r="D777" s="793">
        <f>+C777</f>
        <v>20000000</v>
      </c>
      <c r="E777" s="117">
        <f t="shared" si="64"/>
        <v>100</v>
      </c>
      <c r="F777" s="117">
        <f>+E777</f>
        <v>100</v>
      </c>
      <c r="G777" s="582"/>
    </row>
    <row r="778" spans="1:9" ht="20.100000000000001" customHeight="1" x14ac:dyDescent="0.25">
      <c r="A778" s="159"/>
      <c r="B778" s="119" t="s">
        <v>2272</v>
      </c>
      <c r="C778" s="582">
        <v>400007747.08999997</v>
      </c>
      <c r="D778" s="793">
        <v>152310298</v>
      </c>
      <c r="E778" s="117">
        <f t="shared" si="64"/>
        <v>38.076837038291373</v>
      </c>
      <c r="F778" s="117">
        <v>58.076837038291373</v>
      </c>
      <c r="G778" s="582"/>
    </row>
    <row r="779" spans="1:9" ht="20.100000000000001" customHeight="1" x14ac:dyDescent="0.25">
      <c r="A779" s="159"/>
      <c r="B779" s="217" t="s">
        <v>1885</v>
      </c>
      <c r="C779" s="125">
        <f>SUM(C780:C781)</f>
        <v>1116600000</v>
      </c>
      <c r="D779" s="811">
        <f>SUM(D780:D781)</f>
        <v>1111251370</v>
      </c>
      <c r="E779" s="114">
        <f t="shared" si="64"/>
        <v>99.520989611320076</v>
      </c>
      <c r="F779" s="114">
        <f>SUM(F780:F781)/2</f>
        <v>99.714285714285722</v>
      </c>
      <c r="G779" s="125"/>
    </row>
    <row r="780" spans="1:9" ht="20.100000000000001" customHeight="1" x14ac:dyDescent="0.25">
      <c r="A780" s="159"/>
      <c r="B780" s="119" t="s">
        <v>2273</v>
      </c>
      <c r="C780" s="582">
        <v>875000000</v>
      </c>
      <c r="D780" s="793">
        <v>870000000</v>
      </c>
      <c r="E780" s="117">
        <f t="shared" si="64"/>
        <v>99.428571428571431</v>
      </c>
      <c r="F780" s="117">
        <f>+E780</f>
        <v>99.428571428571431</v>
      </c>
      <c r="G780" s="582"/>
    </row>
    <row r="781" spans="1:9" ht="20.100000000000001" customHeight="1" x14ac:dyDescent="0.25">
      <c r="A781" s="159"/>
      <c r="B781" s="119" t="s">
        <v>2274</v>
      </c>
      <c r="C781" s="582">
        <v>241600000</v>
      </c>
      <c r="D781" s="793">
        <v>241251370</v>
      </c>
      <c r="E781" s="117">
        <f t="shared" si="64"/>
        <v>99.855699503311257</v>
      </c>
      <c r="F781" s="117">
        <v>100</v>
      </c>
      <c r="G781" s="582"/>
    </row>
    <row r="782" spans="1:9" ht="20.100000000000001" customHeight="1" x14ac:dyDescent="0.25">
      <c r="A782" s="159"/>
      <c r="B782" s="217" t="s">
        <v>1888</v>
      </c>
      <c r="C782" s="125">
        <f>C783</f>
        <v>683694207.75</v>
      </c>
      <c r="D782" s="811">
        <f>D783</f>
        <v>681323285</v>
      </c>
      <c r="E782" s="114">
        <f t="shared" si="64"/>
        <v>99.65321883334326</v>
      </c>
      <c r="F782" s="114">
        <v>100</v>
      </c>
      <c r="G782" s="125"/>
    </row>
    <row r="783" spans="1:9" ht="20.100000000000001" customHeight="1" x14ac:dyDescent="0.25">
      <c r="A783" s="159"/>
      <c r="B783" s="119" t="s">
        <v>2275</v>
      </c>
      <c r="C783" s="582">
        <v>683694207.75</v>
      </c>
      <c r="D783" s="793">
        <v>681323285</v>
      </c>
      <c r="E783" s="117">
        <f t="shared" si="64"/>
        <v>99.65321883334326</v>
      </c>
      <c r="F783" s="117">
        <v>100</v>
      </c>
      <c r="G783" s="582"/>
    </row>
    <row r="784" spans="1:9" ht="9.9499999999999993" customHeight="1" x14ac:dyDescent="0.25">
      <c r="A784" s="159"/>
      <c r="B784" s="111"/>
      <c r="C784" s="111"/>
      <c r="D784" s="821"/>
      <c r="E784" s="117"/>
      <c r="F784" s="114"/>
      <c r="G784" s="582"/>
    </row>
    <row r="785" spans="1:7" s="115" customFormat="1" ht="20.100000000000001" customHeight="1" x14ac:dyDescent="0.25">
      <c r="A785" s="159"/>
      <c r="B785" s="121" t="s">
        <v>2313</v>
      </c>
      <c r="C785" s="621">
        <f>C786</f>
        <v>6607532114</v>
      </c>
      <c r="D785" s="811">
        <f>D786</f>
        <v>6607532114</v>
      </c>
      <c r="E785" s="114">
        <f>+D785/C785*100</f>
        <v>100</v>
      </c>
      <c r="F785" s="114">
        <v>100</v>
      </c>
      <c r="G785" s="622"/>
    </row>
    <row r="786" spans="1:7" s="115" customFormat="1" ht="20.100000000000001" customHeight="1" x14ac:dyDescent="0.25">
      <c r="A786" s="159"/>
      <c r="B786" s="121" t="s">
        <v>580</v>
      </c>
      <c r="C786" s="621">
        <f>C787</f>
        <v>6607532114</v>
      </c>
      <c r="D786" s="811">
        <f>D787</f>
        <v>6607532114</v>
      </c>
      <c r="E786" s="114">
        <f>+D786/C786*100</f>
        <v>100</v>
      </c>
      <c r="F786" s="114">
        <v>100</v>
      </c>
      <c r="G786" s="622"/>
    </row>
    <row r="787" spans="1:7" ht="20.100000000000001" customHeight="1" x14ac:dyDescent="0.25">
      <c r="A787" s="159"/>
      <c r="B787" s="111" t="s">
        <v>2314</v>
      </c>
      <c r="C787" s="621">
        <v>6607532114</v>
      </c>
      <c r="D787" s="811">
        <v>6607532114</v>
      </c>
      <c r="E787" s="114">
        <f>+D787/C787*100</f>
        <v>100</v>
      </c>
      <c r="F787" s="114">
        <v>100</v>
      </c>
      <c r="G787" s="623"/>
    </row>
    <row r="788" spans="1:7" ht="9.9499999999999993" customHeight="1" x14ac:dyDescent="0.25">
      <c r="A788" s="159"/>
      <c r="B788" s="111"/>
      <c r="C788" s="582"/>
      <c r="D788" s="778"/>
      <c r="E788" s="117"/>
      <c r="F788" s="117"/>
      <c r="G788" s="111"/>
    </row>
    <row r="789" spans="1:7" s="115" customFormat="1" ht="20.100000000000001" customHeight="1" x14ac:dyDescent="0.25">
      <c r="A789" s="159">
        <v>13</v>
      </c>
      <c r="B789" s="48" t="s">
        <v>2370</v>
      </c>
      <c r="C789" s="595">
        <f>C790+C862</f>
        <v>33208348200</v>
      </c>
      <c r="D789" s="779">
        <f>+D790+D861</f>
        <v>30173758548.34</v>
      </c>
      <c r="E789" s="114">
        <f>+D789/C789*100</f>
        <v>90.86196749870264</v>
      </c>
      <c r="F789" s="114">
        <f>F790</f>
        <v>97.619047619047606</v>
      </c>
      <c r="G789" s="121"/>
    </row>
    <row r="790" spans="1:7" ht="20.100000000000001" customHeight="1" x14ac:dyDescent="0.25">
      <c r="A790" s="159"/>
      <c r="B790" s="274" t="s">
        <v>977</v>
      </c>
      <c r="C790" s="199">
        <f>C791+C795+C822+C831+C842+C847+C855</f>
        <v>29811648200</v>
      </c>
      <c r="D790" s="254">
        <f>+D791+D795+D822+D831+D842+D847+D855</f>
        <v>26998348665</v>
      </c>
      <c r="E790" s="297">
        <f t="shared" ref="E790:E820" si="65">(D790/C790)*100</f>
        <v>90.563086226812516</v>
      </c>
      <c r="F790" s="297">
        <f>(F791+F796+F823+F832+F843+F848+F856)/7</f>
        <v>97.619047619047606</v>
      </c>
      <c r="G790" s="111"/>
    </row>
    <row r="791" spans="1:7" ht="20.100000000000001" customHeight="1" x14ac:dyDescent="0.25">
      <c r="A791" s="159"/>
      <c r="B791" s="274" t="s">
        <v>797</v>
      </c>
      <c r="C791" s="199">
        <v>1400760000</v>
      </c>
      <c r="D791" s="254">
        <f>SUM(D792:D794)</f>
        <v>1214760000</v>
      </c>
      <c r="E791" s="297">
        <f t="shared" si="65"/>
        <v>86.721494046089262</v>
      </c>
      <c r="F791" s="297">
        <f>SUM(F792:F794)/3</f>
        <v>83.333333333333329</v>
      </c>
      <c r="G791" s="111"/>
    </row>
    <row r="792" spans="1:7" ht="20.100000000000001" customHeight="1" x14ac:dyDescent="0.25">
      <c r="A792" s="159"/>
      <c r="B792" s="275" t="s">
        <v>2371</v>
      </c>
      <c r="C792" s="197">
        <v>683760000</v>
      </c>
      <c r="D792" s="108">
        <v>683760000</v>
      </c>
      <c r="E792" s="276">
        <f t="shared" si="65"/>
        <v>100</v>
      </c>
      <c r="F792" s="276">
        <v>100</v>
      </c>
      <c r="G792" s="111"/>
    </row>
    <row r="793" spans="1:7" ht="20.100000000000001" customHeight="1" x14ac:dyDescent="0.25">
      <c r="A793" s="159"/>
      <c r="B793" s="275" t="s">
        <v>2372</v>
      </c>
      <c r="C793" s="197">
        <v>372000000</v>
      </c>
      <c r="D793" s="108">
        <v>186000000</v>
      </c>
      <c r="E793" s="276">
        <f t="shared" si="65"/>
        <v>50</v>
      </c>
      <c r="F793" s="276">
        <v>50</v>
      </c>
      <c r="G793" s="111"/>
    </row>
    <row r="794" spans="1:7" ht="30.75" customHeight="1" x14ac:dyDescent="0.25">
      <c r="A794" s="159"/>
      <c r="B794" s="275" t="s">
        <v>2074</v>
      </c>
      <c r="C794" s="197">
        <v>345000000</v>
      </c>
      <c r="D794" s="108">
        <v>345000000</v>
      </c>
      <c r="E794" s="276">
        <f t="shared" si="65"/>
        <v>100</v>
      </c>
      <c r="F794" s="276">
        <v>100</v>
      </c>
      <c r="G794" s="111"/>
    </row>
    <row r="795" spans="1:7" ht="20.100000000000001" customHeight="1" x14ac:dyDescent="0.25">
      <c r="A795" s="159"/>
      <c r="B795" s="274" t="s">
        <v>2373</v>
      </c>
      <c r="C795" s="199">
        <v>14554178165</v>
      </c>
      <c r="D795" s="254">
        <f>SUM(D796:D820)</f>
        <v>13640306665</v>
      </c>
      <c r="E795" s="297">
        <f t="shared" si="65"/>
        <v>93.720899320872093</v>
      </c>
      <c r="F795" s="297">
        <f>SUM(F796:F820)/25</f>
        <v>99.6</v>
      </c>
      <c r="G795" s="111"/>
    </row>
    <row r="796" spans="1:7" ht="29.25" customHeight="1" x14ac:dyDescent="0.25">
      <c r="A796" s="159"/>
      <c r="B796" s="275" t="s">
        <v>2374</v>
      </c>
      <c r="C796" s="197">
        <v>1320000000</v>
      </c>
      <c r="D796" s="108">
        <v>1320000000</v>
      </c>
      <c r="E796" s="276">
        <f t="shared" si="65"/>
        <v>100</v>
      </c>
      <c r="F796" s="276">
        <v>100</v>
      </c>
      <c r="G796" s="111"/>
    </row>
    <row r="797" spans="1:7" ht="20.100000000000001" customHeight="1" x14ac:dyDescent="0.25">
      <c r="A797" s="159"/>
      <c r="B797" s="275" t="s">
        <v>2375</v>
      </c>
      <c r="C797" s="197">
        <v>72000000</v>
      </c>
      <c r="D797" s="108">
        <v>72000000</v>
      </c>
      <c r="E797" s="276">
        <f t="shared" si="65"/>
        <v>100</v>
      </c>
      <c r="F797" s="276">
        <v>100</v>
      </c>
      <c r="G797" s="111"/>
    </row>
    <row r="798" spans="1:7" ht="20.100000000000001" customHeight="1" x14ac:dyDescent="0.25">
      <c r="A798" s="159"/>
      <c r="B798" s="275" t="s">
        <v>2376</v>
      </c>
      <c r="C798" s="197">
        <v>2246645165</v>
      </c>
      <c r="D798" s="108">
        <v>2246645165</v>
      </c>
      <c r="E798" s="276">
        <f t="shared" si="65"/>
        <v>100</v>
      </c>
      <c r="F798" s="276">
        <v>100</v>
      </c>
      <c r="G798" s="111"/>
    </row>
    <row r="799" spans="1:7" ht="20.100000000000001" customHeight="1" x14ac:dyDescent="0.25">
      <c r="A799" s="159"/>
      <c r="B799" s="275" t="s">
        <v>2377</v>
      </c>
      <c r="C799" s="197">
        <v>150000000</v>
      </c>
      <c r="D799" s="108">
        <v>150000000</v>
      </c>
      <c r="E799" s="276">
        <f t="shared" si="65"/>
        <v>100</v>
      </c>
      <c r="F799" s="276">
        <v>100</v>
      </c>
      <c r="G799" s="111"/>
    </row>
    <row r="800" spans="1:7" ht="29.25" customHeight="1" x14ac:dyDescent="0.25">
      <c r="A800" s="159"/>
      <c r="B800" s="275" t="s">
        <v>2378</v>
      </c>
      <c r="C800" s="197">
        <v>150000000</v>
      </c>
      <c r="D800" s="108">
        <v>150000000</v>
      </c>
      <c r="E800" s="276">
        <f t="shared" si="65"/>
        <v>100</v>
      </c>
      <c r="F800" s="276">
        <v>100</v>
      </c>
      <c r="G800" s="111"/>
    </row>
    <row r="801" spans="1:7" ht="30.75" customHeight="1" x14ac:dyDescent="0.25">
      <c r="A801" s="159"/>
      <c r="B801" s="275" t="s">
        <v>2379</v>
      </c>
      <c r="C801" s="197">
        <v>216000000</v>
      </c>
      <c r="D801" s="108">
        <v>216000000</v>
      </c>
      <c r="E801" s="276">
        <f t="shared" si="65"/>
        <v>100</v>
      </c>
      <c r="F801" s="276">
        <v>100</v>
      </c>
      <c r="G801" s="111"/>
    </row>
    <row r="802" spans="1:7" ht="29.25" customHeight="1" x14ac:dyDescent="0.25">
      <c r="A802" s="159"/>
      <c r="B802" s="275" t="s">
        <v>2380</v>
      </c>
      <c r="C802" s="197">
        <v>347000000</v>
      </c>
      <c r="D802" s="108">
        <v>347000000</v>
      </c>
      <c r="E802" s="276">
        <f t="shared" si="65"/>
        <v>100</v>
      </c>
      <c r="F802" s="276">
        <v>100</v>
      </c>
      <c r="G802" s="111"/>
    </row>
    <row r="803" spans="1:7" ht="20.100000000000001" customHeight="1" x14ac:dyDescent="0.25">
      <c r="A803" s="159"/>
      <c r="B803" s="275" t="s">
        <v>2381</v>
      </c>
      <c r="C803" s="197">
        <v>148068000</v>
      </c>
      <c r="D803" s="108">
        <v>148068000</v>
      </c>
      <c r="E803" s="276">
        <f t="shared" si="65"/>
        <v>100</v>
      </c>
      <c r="F803" s="276">
        <v>100</v>
      </c>
      <c r="G803" s="111"/>
    </row>
    <row r="804" spans="1:7" ht="20.100000000000001" customHeight="1" x14ac:dyDescent="0.25">
      <c r="A804" s="159"/>
      <c r="B804" s="275" t="s">
        <v>2382</v>
      </c>
      <c r="C804" s="197">
        <v>75000000</v>
      </c>
      <c r="D804" s="108">
        <v>75000000</v>
      </c>
      <c r="E804" s="276">
        <f t="shared" si="65"/>
        <v>100</v>
      </c>
      <c r="F804" s="276">
        <v>100</v>
      </c>
      <c r="G804" s="111"/>
    </row>
    <row r="805" spans="1:7" ht="20.100000000000001" customHeight="1" x14ac:dyDescent="0.25">
      <c r="A805" s="159"/>
      <c r="B805" s="275" t="s">
        <v>2383</v>
      </c>
      <c r="C805" s="197">
        <v>200000000</v>
      </c>
      <c r="D805" s="108">
        <v>200000000</v>
      </c>
      <c r="E805" s="276">
        <f t="shared" si="65"/>
        <v>100</v>
      </c>
      <c r="F805" s="276">
        <v>100</v>
      </c>
      <c r="G805" s="111"/>
    </row>
    <row r="806" spans="1:7" ht="30.75" customHeight="1" x14ac:dyDescent="0.25">
      <c r="A806" s="159"/>
      <c r="B806" s="275" t="s">
        <v>2384</v>
      </c>
      <c r="C806" s="197">
        <v>100000000</v>
      </c>
      <c r="D806" s="108">
        <v>100000000</v>
      </c>
      <c r="E806" s="276">
        <f t="shared" si="65"/>
        <v>100</v>
      </c>
      <c r="F806" s="276">
        <v>100</v>
      </c>
      <c r="G806" s="111"/>
    </row>
    <row r="807" spans="1:7" ht="20.100000000000001" customHeight="1" x14ac:dyDescent="0.25">
      <c r="A807" s="159"/>
      <c r="B807" s="275" t="s">
        <v>2385</v>
      </c>
      <c r="C807" s="197">
        <v>500000000</v>
      </c>
      <c r="D807" s="108">
        <v>500000000</v>
      </c>
      <c r="E807" s="276">
        <f t="shared" si="65"/>
        <v>100</v>
      </c>
      <c r="F807" s="276">
        <v>100</v>
      </c>
      <c r="G807" s="111"/>
    </row>
    <row r="808" spans="1:7" ht="20.100000000000001" customHeight="1" x14ac:dyDescent="0.25">
      <c r="A808" s="159"/>
      <c r="B808" s="275" t="s">
        <v>2386</v>
      </c>
      <c r="C808" s="197">
        <v>250000000</v>
      </c>
      <c r="D808" s="108">
        <v>250000000</v>
      </c>
      <c r="E808" s="276">
        <f t="shared" si="65"/>
        <v>100</v>
      </c>
      <c r="F808" s="276">
        <v>100</v>
      </c>
      <c r="G808" s="111"/>
    </row>
    <row r="809" spans="1:7" ht="20.100000000000001" customHeight="1" x14ac:dyDescent="0.25">
      <c r="A809" s="159"/>
      <c r="B809" s="275" t="s">
        <v>2387</v>
      </c>
      <c r="C809" s="197">
        <v>200000000</v>
      </c>
      <c r="D809" s="108">
        <v>200000000</v>
      </c>
      <c r="E809" s="276">
        <f t="shared" si="65"/>
        <v>100</v>
      </c>
      <c r="F809" s="276">
        <v>100</v>
      </c>
      <c r="G809" s="111"/>
    </row>
    <row r="810" spans="1:7" ht="20.100000000000001" customHeight="1" x14ac:dyDescent="0.25">
      <c r="A810" s="159"/>
      <c r="B810" s="275" t="s">
        <v>2388</v>
      </c>
      <c r="C810" s="197">
        <v>142310000</v>
      </c>
      <c r="D810" s="108">
        <v>0</v>
      </c>
      <c r="E810" s="276">
        <f t="shared" si="65"/>
        <v>0</v>
      </c>
      <c r="F810" s="276">
        <v>100</v>
      </c>
      <c r="G810" s="111"/>
    </row>
    <row r="811" spans="1:7" ht="20.100000000000001" customHeight="1" x14ac:dyDescent="0.25">
      <c r="A811" s="159"/>
      <c r="B811" s="275" t="s">
        <v>2389</v>
      </c>
      <c r="C811" s="197">
        <v>263750000</v>
      </c>
      <c r="D811" s="108">
        <v>261750000</v>
      </c>
      <c r="E811" s="276">
        <f t="shared" si="65"/>
        <v>99.241706161137444</v>
      </c>
      <c r="F811" s="276">
        <v>100</v>
      </c>
      <c r="G811" s="111"/>
    </row>
    <row r="812" spans="1:7" ht="20.100000000000001" customHeight="1" x14ac:dyDescent="0.25">
      <c r="A812" s="159"/>
      <c r="B812" s="275" t="s">
        <v>2390</v>
      </c>
      <c r="C812" s="197">
        <v>504000000</v>
      </c>
      <c r="D812" s="108">
        <v>488500000</v>
      </c>
      <c r="E812" s="276">
        <f t="shared" si="65"/>
        <v>96.924603174603178</v>
      </c>
      <c r="F812" s="276">
        <v>100</v>
      </c>
      <c r="G812" s="111"/>
    </row>
    <row r="813" spans="1:7" ht="20.100000000000001" customHeight="1" x14ac:dyDescent="0.25">
      <c r="A813" s="159"/>
      <c r="B813" s="275" t="s">
        <v>2391</v>
      </c>
      <c r="C813" s="197">
        <v>500000000</v>
      </c>
      <c r="D813" s="108">
        <v>0</v>
      </c>
      <c r="E813" s="276">
        <f t="shared" si="65"/>
        <v>0</v>
      </c>
      <c r="F813" s="276">
        <v>100</v>
      </c>
      <c r="G813" s="111"/>
    </row>
    <row r="814" spans="1:7" ht="29.25" customHeight="1" x14ac:dyDescent="0.25">
      <c r="A814" s="159"/>
      <c r="B814" s="275" t="s">
        <v>2392</v>
      </c>
      <c r="C814" s="197">
        <v>121400000</v>
      </c>
      <c r="D814" s="108">
        <v>0</v>
      </c>
      <c r="E814" s="276">
        <f t="shared" si="65"/>
        <v>0</v>
      </c>
      <c r="F814" s="276">
        <v>100</v>
      </c>
      <c r="G814" s="111"/>
    </row>
    <row r="815" spans="1:7" ht="29.25" customHeight="1" x14ac:dyDescent="0.25">
      <c r="A815" s="159"/>
      <c r="B815" s="275" t="s">
        <v>2393</v>
      </c>
      <c r="C815" s="197">
        <v>1062685000</v>
      </c>
      <c r="D815" s="108">
        <v>1059251000</v>
      </c>
      <c r="E815" s="276">
        <f t="shared" si="65"/>
        <v>99.676856265026785</v>
      </c>
      <c r="F815" s="276">
        <v>100</v>
      </c>
      <c r="G815" s="111"/>
    </row>
    <row r="816" spans="1:7" ht="20.100000000000001" customHeight="1" x14ac:dyDescent="0.25">
      <c r="A816" s="159"/>
      <c r="B816" s="275" t="s">
        <v>2394</v>
      </c>
      <c r="C816" s="197">
        <v>150000000</v>
      </c>
      <c r="D816" s="108">
        <v>150000000</v>
      </c>
      <c r="E816" s="276">
        <f t="shared" si="65"/>
        <v>100</v>
      </c>
      <c r="F816" s="276">
        <v>100</v>
      </c>
      <c r="G816" s="111"/>
    </row>
    <row r="817" spans="1:7" ht="20.100000000000001" customHeight="1" x14ac:dyDescent="0.25">
      <c r="A817" s="159"/>
      <c r="B817" s="275" t="s">
        <v>2395</v>
      </c>
      <c r="C817" s="197">
        <v>120000000</v>
      </c>
      <c r="D817" s="108">
        <v>120000000</v>
      </c>
      <c r="E817" s="276">
        <f t="shared" si="65"/>
        <v>100</v>
      </c>
      <c r="F817" s="276">
        <v>100</v>
      </c>
      <c r="G817" s="111"/>
    </row>
    <row r="818" spans="1:7" ht="29.25" customHeight="1" x14ac:dyDescent="0.25">
      <c r="A818" s="159"/>
      <c r="B818" s="275" t="s">
        <v>2396</v>
      </c>
      <c r="C818" s="197">
        <v>894240000</v>
      </c>
      <c r="D818" s="108">
        <v>765012500</v>
      </c>
      <c r="E818" s="276">
        <f t="shared" si="65"/>
        <v>85.548901860797997</v>
      </c>
      <c r="F818" s="276">
        <v>90</v>
      </c>
      <c r="G818" s="111"/>
    </row>
    <row r="819" spans="1:7" ht="29.25" customHeight="1" x14ac:dyDescent="0.25">
      <c r="A819" s="159"/>
      <c r="B819" s="275" t="s">
        <v>2397</v>
      </c>
      <c r="C819" s="197">
        <v>275000000</v>
      </c>
      <c r="D819" s="108">
        <v>275000000</v>
      </c>
      <c r="E819" s="276">
        <f t="shared" si="65"/>
        <v>100</v>
      </c>
      <c r="F819" s="276">
        <v>100</v>
      </c>
      <c r="G819" s="111"/>
    </row>
    <row r="820" spans="1:7" ht="20.100000000000001" customHeight="1" x14ac:dyDescent="0.25">
      <c r="A820" s="159"/>
      <c r="B820" s="275" t="s">
        <v>2398</v>
      </c>
      <c r="C820" s="197">
        <v>4546080000</v>
      </c>
      <c r="D820" s="108">
        <v>4546080000</v>
      </c>
      <c r="E820" s="276">
        <f t="shared" si="65"/>
        <v>100</v>
      </c>
      <c r="F820" s="276">
        <v>100</v>
      </c>
      <c r="G820" s="111"/>
    </row>
    <row r="821" spans="1:7" ht="9.9499999999999993" customHeight="1" x14ac:dyDescent="0.25">
      <c r="A821" s="159"/>
      <c r="B821" s="275"/>
      <c r="C821" s="116"/>
      <c r="D821" s="108"/>
      <c r="E821" s="117"/>
      <c r="F821" s="117"/>
      <c r="G821" s="111"/>
    </row>
    <row r="822" spans="1:7" ht="20.100000000000001" customHeight="1" x14ac:dyDescent="0.25">
      <c r="A822" s="159"/>
      <c r="B822" s="274" t="s">
        <v>2399</v>
      </c>
      <c r="C822" s="199">
        <v>6040952300</v>
      </c>
      <c r="D822" s="254">
        <f>SUM(D823:D829)</f>
        <v>5511380000</v>
      </c>
      <c r="E822" s="297">
        <f t="shared" ref="E822:E829" si="66">(D822/C822)*100</f>
        <v>91.23362884358481</v>
      </c>
      <c r="F822" s="297">
        <f>SUM(F823:F829)/7</f>
        <v>96.428571428571431</v>
      </c>
      <c r="G822" s="111"/>
    </row>
    <row r="823" spans="1:7" ht="20.100000000000001" customHeight="1" x14ac:dyDescent="0.25">
      <c r="A823" s="159"/>
      <c r="B823" s="275" t="s">
        <v>2400</v>
      </c>
      <c r="C823" s="197">
        <v>200000000</v>
      </c>
      <c r="D823" s="108">
        <v>200000000</v>
      </c>
      <c r="E823" s="276">
        <f t="shared" si="66"/>
        <v>100</v>
      </c>
      <c r="F823" s="276">
        <v>100</v>
      </c>
      <c r="G823" s="111"/>
    </row>
    <row r="824" spans="1:7" ht="20.100000000000001" customHeight="1" x14ac:dyDescent="0.25">
      <c r="A824" s="159"/>
      <c r="B824" s="275" t="s">
        <v>2401</v>
      </c>
      <c r="C824" s="197">
        <v>1248972300</v>
      </c>
      <c r="D824" s="108">
        <v>978400000</v>
      </c>
      <c r="E824" s="276">
        <f t="shared" si="66"/>
        <v>78.336405058783129</v>
      </c>
      <c r="F824" s="276">
        <v>75</v>
      </c>
      <c r="G824" s="111"/>
    </row>
    <row r="825" spans="1:7" ht="20.100000000000001" customHeight="1" x14ac:dyDescent="0.25">
      <c r="A825" s="159"/>
      <c r="B825" s="275" t="s">
        <v>2402</v>
      </c>
      <c r="C825" s="197">
        <v>259000000</v>
      </c>
      <c r="D825" s="108">
        <v>0</v>
      </c>
      <c r="E825" s="276">
        <f t="shared" si="66"/>
        <v>0</v>
      </c>
      <c r="F825" s="276">
        <v>100</v>
      </c>
      <c r="G825" s="111"/>
    </row>
    <row r="826" spans="1:7" ht="20.100000000000001" customHeight="1" x14ac:dyDescent="0.25">
      <c r="A826" s="159"/>
      <c r="B826" s="275" t="s">
        <v>2403</v>
      </c>
      <c r="C826" s="197">
        <v>2600000000</v>
      </c>
      <c r="D826" s="108">
        <v>2600000000</v>
      </c>
      <c r="E826" s="276">
        <f t="shared" si="66"/>
        <v>100</v>
      </c>
      <c r="F826" s="276">
        <v>100</v>
      </c>
      <c r="G826" s="111"/>
    </row>
    <row r="827" spans="1:7" ht="30.75" customHeight="1" x14ac:dyDescent="0.25">
      <c r="A827" s="159"/>
      <c r="B827" s="275" t="s">
        <v>2404</v>
      </c>
      <c r="C827" s="197">
        <v>203500000</v>
      </c>
      <c r="D827" s="108">
        <v>203500000</v>
      </c>
      <c r="E827" s="276">
        <f t="shared" si="66"/>
        <v>100</v>
      </c>
      <c r="F827" s="276">
        <v>100</v>
      </c>
      <c r="G827" s="111"/>
    </row>
    <row r="828" spans="1:7" ht="30.75" customHeight="1" x14ac:dyDescent="0.25">
      <c r="A828" s="159"/>
      <c r="B828" s="275" t="s">
        <v>2405</v>
      </c>
      <c r="C828" s="197">
        <v>125000000</v>
      </c>
      <c r="D828" s="108">
        <v>125000000</v>
      </c>
      <c r="E828" s="276">
        <f t="shared" si="66"/>
        <v>100</v>
      </c>
      <c r="F828" s="276">
        <v>100</v>
      </c>
      <c r="G828" s="111"/>
    </row>
    <row r="829" spans="1:7" ht="20.100000000000001" customHeight="1" x14ac:dyDescent="0.25">
      <c r="A829" s="159"/>
      <c r="B829" s="275" t="s">
        <v>2406</v>
      </c>
      <c r="C829" s="197">
        <v>1404480000</v>
      </c>
      <c r="D829" s="108">
        <v>1404480000</v>
      </c>
      <c r="E829" s="276">
        <f t="shared" si="66"/>
        <v>100</v>
      </c>
      <c r="F829" s="276">
        <v>100</v>
      </c>
      <c r="G829" s="111"/>
    </row>
    <row r="830" spans="1:7" ht="9.9499999999999993" customHeight="1" x14ac:dyDescent="0.25">
      <c r="A830" s="159"/>
      <c r="B830" s="275"/>
      <c r="C830" s="116"/>
      <c r="D830" s="108"/>
      <c r="E830" s="117"/>
      <c r="F830" s="117"/>
      <c r="G830" s="111"/>
    </row>
    <row r="831" spans="1:7" ht="20.100000000000001" customHeight="1" x14ac:dyDescent="0.25">
      <c r="A831" s="159"/>
      <c r="B831" s="274" t="s">
        <v>2407</v>
      </c>
      <c r="C831" s="199">
        <v>4019057735</v>
      </c>
      <c r="D831" s="254">
        <f>SUM(D832:D840)</f>
        <v>3844140000</v>
      </c>
      <c r="E831" s="297">
        <f t="shared" ref="E831:E840" si="67">(D831/C831)*100</f>
        <v>95.647792429635246</v>
      </c>
      <c r="F831" s="297">
        <f>SUM(F832:F840)/9</f>
        <v>100</v>
      </c>
      <c r="G831" s="111"/>
    </row>
    <row r="832" spans="1:7" ht="20.100000000000001" customHeight="1" x14ac:dyDescent="0.25">
      <c r="A832" s="159"/>
      <c r="B832" s="275" t="s">
        <v>2408</v>
      </c>
      <c r="C832" s="197">
        <v>270000000</v>
      </c>
      <c r="D832" s="108">
        <v>270000000</v>
      </c>
      <c r="E832" s="276">
        <f t="shared" si="67"/>
        <v>100</v>
      </c>
      <c r="F832" s="276">
        <v>100</v>
      </c>
      <c r="G832" s="111"/>
    </row>
    <row r="833" spans="1:7" ht="20.100000000000001" customHeight="1" x14ac:dyDescent="0.25">
      <c r="A833" s="159"/>
      <c r="B833" s="275" t="s">
        <v>2409</v>
      </c>
      <c r="C833" s="197">
        <v>135000000</v>
      </c>
      <c r="D833" s="108">
        <v>135000000</v>
      </c>
      <c r="E833" s="276">
        <f t="shared" si="67"/>
        <v>100</v>
      </c>
      <c r="F833" s="276">
        <v>100</v>
      </c>
      <c r="G833" s="111"/>
    </row>
    <row r="834" spans="1:7" ht="20.100000000000001" customHeight="1" x14ac:dyDescent="0.25">
      <c r="A834" s="159"/>
      <c r="B834" s="275" t="s">
        <v>2410</v>
      </c>
      <c r="C834" s="197">
        <v>350000000</v>
      </c>
      <c r="D834" s="108">
        <v>350000000</v>
      </c>
      <c r="E834" s="276">
        <f t="shared" si="67"/>
        <v>100</v>
      </c>
      <c r="F834" s="276">
        <v>100</v>
      </c>
      <c r="G834" s="111"/>
    </row>
    <row r="835" spans="1:7" ht="20.100000000000001" customHeight="1" x14ac:dyDescent="0.25">
      <c r="A835" s="159"/>
      <c r="B835" s="275" t="s">
        <v>2411</v>
      </c>
      <c r="C835" s="197">
        <v>225600000</v>
      </c>
      <c r="D835" s="108">
        <v>225600000</v>
      </c>
      <c r="E835" s="276">
        <f t="shared" si="67"/>
        <v>100</v>
      </c>
      <c r="F835" s="276">
        <v>100</v>
      </c>
      <c r="G835" s="111"/>
    </row>
    <row r="836" spans="1:7" ht="20.100000000000001" customHeight="1" x14ac:dyDescent="0.25">
      <c r="A836" s="159"/>
      <c r="B836" s="275" t="s">
        <v>2412</v>
      </c>
      <c r="C836" s="197">
        <v>200000000</v>
      </c>
      <c r="D836" s="108">
        <v>200000000</v>
      </c>
      <c r="E836" s="276">
        <f t="shared" si="67"/>
        <v>100</v>
      </c>
      <c r="F836" s="276">
        <v>100</v>
      </c>
      <c r="G836" s="111"/>
    </row>
    <row r="837" spans="1:7" ht="20.100000000000001" customHeight="1" x14ac:dyDescent="0.25">
      <c r="A837" s="159"/>
      <c r="B837" s="275" t="s">
        <v>2413</v>
      </c>
      <c r="C837" s="197">
        <v>835957735</v>
      </c>
      <c r="D837" s="108">
        <v>770800000</v>
      </c>
      <c r="E837" s="276">
        <f t="shared" si="67"/>
        <v>92.205618505342258</v>
      </c>
      <c r="F837" s="276">
        <v>100</v>
      </c>
      <c r="G837" s="111"/>
    </row>
    <row r="838" spans="1:7" ht="20.100000000000001" customHeight="1" x14ac:dyDescent="0.25">
      <c r="A838" s="159"/>
      <c r="B838" s="275" t="s">
        <v>2414</v>
      </c>
      <c r="C838" s="197">
        <v>1025460000</v>
      </c>
      <c r="D838" s="108">
        <v>1005700000</v>
      </c>
      <c r="E838" s="276">
        <f t="shared" si="67"/>
        <v>98.073059895071481</v>
      </c>
      <c r="F838" s="276">
        <v>100</v>
      </c>
      <c r="G838" s="111"/>
    </row>
    <row r="839" spans="1:7" ht="20.100000000000001" customHeight="1" x14ac:dyDescent="0.25">
      <c r="A839" s="159"/>
      <c r="B839" s="275" t="s">
        <v>2415</v>
      </c>
      <c r="C839" s="197">
        <v>90000000</v>
      </c>
      <c r="D839" s="108">
        <v>0</v>
      </c>
      <c r="E839" s="276">
        <f t="shared" si="67"/>
        <v>0</v>
      </c>
      <c r="F839" s="276">
        <v>100</v>
      </c>
      <c r="G839" s="111"/>
    </row>
    <row r="840" spans="1:7" ht="20.100000000000001" customHeight="1" x14ac:dyDescent="0.25">
      <c r="A840" s="159"/>
      <c r="B840" s="275" t="s">
        <v>2416</v>
      </c>
      <c r="C840" s="197">
        <v>887040000</v>
      </c>
      <c r="D840" s="108">
        <v>887040000</v>
      </c>
      <c r="E840" s="276">
        <f t="shared" si="67"/>
        <v>100</v>
      </c>
      <c r="F840" s="276">
        <v>100</v>
      </c>
      <c r="G840" s="111"/>
    </row>
    <row r="841" spans="1:7" ht="9.9499999999999993" customHeight="1" x14ac:dyDescent="0.25">
      <c r="A841" s="159"/>
      <c r="B841" s="275"/>
      <c r="C841" s="116"/>
      <c r="D841" s="108"/>
      <c r="E841" s="117"/>
      <c r="F841" s="117"/>
      <c r="G841" s="111"/>
    </row>
    <row r="842" spans="1:7" ht="20.100000000000001" customHeight="1" x14ac:dyDescent="0.25">
      <c r="A842" s="159"/>
      <c r="B842" s="274" t="s">
        <v>1707</v>
      </c>
      <c r="C842" s="199">
        <v>475000000</v>
      </c>
      <c r="D842" s="254">
        <f>SUM(D843:D845)</f>
        <v>298500000</v>
      </c>
      <c r="E842" s="297">
        <f>(D842/C842)*100</f>
        <v>62.842105263157897</v>
      </c>
      <c r="F842" s="297">
        <f>SUM(F843:F845)/3</f>
        <v>33.333333333333336</v>
      </c>
      <c r="G842" s="111"/>
    </row>
    <row r="843" spans="1:7" ht="39" customHeight="1" x14ac:dyDescent="0.25">
      <c r="A843" s="159"/>
      <c r="B843" s="275" t="s">
        <v>2417</v>
      </c>
      <c r="C843" s="197">
        <v>300000000</v>
      </c>
      <c r="D843" s="108">
        <v>298500000</v>
      </c>
      <c r="E843" s="276">
        <f>(D843/C843)*100</f>
        <v>99.5</v>
      </c>
      <c r="F843" s="276">
        <v>100</v>
      </c>
      <c r="G843" s="111"/>
    </row>
    <row r="844" spans="1:7" ht="39" customHeight="1" x14ac:dyDescent="0.25">
      <c r="A844" s="159"/>
      <c r="B844" s="275" t="s">
        <v>2418</v>
      </c>
      <c r="C844" s="197">
        <v>75000000</v>
      </c>
      <c r="D844" s="108">
        <v>0</v>
      </c>
      <c r="E844" s="276">
        <f>(D844/C844)*100</f>
        <v>0</v>
      </c>
      <c r="F844" s="276">
        <v>0</v>
      </c>
      <c r="G844" s="111"/>
    </row>
    <row r="845" spans="1:7" ht="29.25" customHeight="1" x14ac:dyDescent="0.25">
      <c r="A845" s="159"/>
      <c r="B845" s="275" t="s">
        <v>2419</v>
      </c>
      <c r="C845" s="197">
        <v>100000000</v>
      </c>
      <c r="D845" s="108">
        <v>0</v>
      </c>
      <c r="E845" s="276">
        <f>(D845/C845)*100</f>
        <v>0</v>
      </c>
      <c r="F845" s="276">
        <v>0</v>
      </c>
      <c r="G845" s="111"/>
    </row>
    <row r="846" spans="1:7" ht="9.9499999999999993" customHeight="1" x14ac:dyDescent="0.25">
      <c r="A846" s="159"/>
      <c r="B846" s="275"/>
      <c r="C846" s="116"/>
      <c r="D846" s="108"/>
      <c r="E846" s="117"/>
      <c r="F846" s="117"/>
      <c r="G846" s="111"/>
    </row>
    <row r="847" spans="1:7" ht="20.100000000000001" customHeight="1" x14ac:dyDescent="0.25">
      <c r="A847" s="159"/>
      <c r="B847" s="274" t="s">
        <v>2420</v>
      </c>
      <c r="C847" s="199">
        <v>1421700000</v>
      </c>
      <c r="D847" s="254">
        <f>SUM(D848:D853)</f>
        <v>1421700000</v>
      </c>
      <c r="E847" s="297">
        <f t="shared" ref="E847:E853" si="68">(D847/C847)*100</f>
        <v>100</v>
      </c>
      <c r="F847" s="297">
        <f>SUM(F848:F853)/6</f>
        <v>100</v>
      </c>
      <c r="G847" s="111"/>
    </row>
    <row r="848" spans="1:7" ht="20.100000000000001" customHeight="1" x14ac:dyDescent="0.25">
      <c r="A848" s="159"/>
      <c r="B848" s="275" t="s">
        <v>2421</v>
      </c>
      <c r="C848" s="197">
        <v>168000000</v>
      </c>
      <c r="D848" s="108">
        <v>168000000</v>
      </c>
      <c r="E848" s="276">
        <f t="shared" si="68"/>
        <v>100</v>
      </c>
      <c r="F848" s="276">
        <v>100</v>
      </c>
      <c r="G848" s="111"/>
    </row>
    <row r="849" spans="1:7" ht="20.100000000000001" customHeight="1" x14ac:dyDescent="0.25">
      <c r="A849" s="159"/>
      <c r="B849" s="275" t="s">
        <v>2086</v>
      </c>
      <c r="C849" s="197">
        <v>150000000</v>
      </c>
      <c r="D849" s="108">
        <v>150000000</v>
      </c>
      <c r="E849" s="276">
        <f t="shared" si="68"/>
        <v>100</v>
      </c>
      <c r="F849" s="276">
        <v>100</v>
      </c>
      <c r="G849" s="111"/>
    </row>
    <row r="850" spans="1:7" ht="20.100000000000001" customHeight="1" x14ac:dyDescent="0.25">
      <c r="A850" s="159"/>
      <c r="B850" s="275" t="s">
        <v>2422</v>
      </c>
      <c r="C850" s="197">
        <v>157500000</v>
      </c>
      <c r="D850" s="108">
        <v>157500000</v>
      </c>
      <c r="E850" s="276">
        <f t="shared" si="68"/>
        <v>100</v>
      </c>
      <c r="F850" s="276">
        <v>100</v>
      </c>
      <c r="G850" s="111"/>
    </row>
    <row r="851" spans="1:7" ht="39" customHeight="1" x14ac:dyDescent="0.25">
      <c r="A851" s="159"/>
      <c r="B851" s="275" t="s">
        <v>2423</v>
      </c>
      <c r="C851" s="197">
        <v>127200000</v>
      </c>
      <c r="D851" s="108">
        <v>127200000</v>
      </c>
      <c r="E851" s="276">
        <f t="shared" si="68"/>
        <v>100</v>
      </c>
      <c r="F851" s="276">
        <v>100</v>
      </c>
      <c r="G851" s="111"/>
    </row>
    <row r="852" spans="1:7" ht="29.25" customHeight="1" x14ac:dyDescent="0.25">
      <c r="A852" s="159"/>
      <c r="B852" s="275" t="s">
        <v>2424</v>
      </c>
      <c r="C852" s="197">
        <v>273000000</v>
      </c>
      <c r="D852" s="108">
        <v>273000000</v>
      </c>
      <c r="E852" s="276">
        <f t="shared" si="68"/>
        <v>100</v>
      </c>
      <c r="F852" s="276">
        <v>100</v>
      </c>
      <c r="G852" s="111"/>
    </row>
    <row r="853" spans="1:7" ht="20.100000000000001" customHeight="1" x14ac:dyDescent="0.25">
      <c r="A853" s="159"/>
      <c r="B853" s="275" t="s">
        <v>2425</v>
      </c>
      <c r="C853" s="197">
        <v>546000000</v>
      </c>
      <c r="D853" s="108">
        <v>546000000</v>
      </c>
      <c r="E853" s="276">
        <f t="shared" si="68"/>
        <v>100</v>
      </c>
      <c r="F853" s="276">
        <v>100</v>
      </c>
      <c r="G853" s="111"/>
    </row>
    <row r="854" spans="1:7" ht="9.9499999999999993" customHeight="1" x14ac:dyDescent="0.25">
      <c r="A854" s="159"/>
      <c r="B854" s="275"/>
      <c r="C854" s="116"/>
      <c r="D854" s="108"/>
      <c r="E854" s="117"/>
      <c r="F854" s="117"/>
      <c r="G854" s="111"/>
    </row>
    <row r="855" spans="1:7" ht="20.100000000000001" customHeight="1" x14ac:dyDescent="0.25">
      <c r="A855" s="159"/>
      <c r="B855" s="274" t="s">
        <v>2426</v>
      </c>
      <c r="C855" s="199">
        <v>1900000000</v>
      </c>
      <c r="D855" s="254">
        <f>SUM(D856:D859)</f>
        <v>1067562000</v>
      </c>
      <c r="E855" s="297">
        <f>(D855/C855)*100</f>
        <v>56.187473684210531</v>
      </c>
      <c r="F855" s="297">
        <f>SUM(F856:F859)/4</f>
        <v>75</v>
      </c>
      <c r="G855" s="111"/>
    </row>
    <row r="856" spans="1:7" ht="20.100000000000001" customHeight="1" x14ac:dyDescent="0.25">
      <c r="A856" s="159"/>
      <c r="B856" s="275" t="s">
        <v>2427</v>
      </c>
      <c r="C856" s="197">
        <v>500000000</v>
      </c>
      <c r="D856" s="108">
        <v>480000000</v>
      </c>
      <c r="E856" s="276">
        <f>(D856/C856)*100</f>
        <v>96</v>
      </c>
      <c r="F856" s="276">
        <v>100</v>
      </c>
      <c r="G856" s="111"/>
    </row>
    <row r="857" spans="1:7" ht="20.100000000000001" customHeight="1" x14ac:dyDescent="0.25">
      <c r="A857" s="159"/>
      <c r="B857" s="275" t="s">
        <v>2428</v>
      </c>
      <c r="C857" s="197">
        <v>800000000</v>
      </c>
      <c r="D857" s="108">
        <v>0</v>
      </c>
      <c r="E857" s="276">
        <f>(D857/C857)*100</f>
        <v>0</v>
      </c>
      <c r="F857" s="276">
        <v>0</v>
      </c>
      <c r="G857" s="111"/>
    </row>
    <row r="858" spans="1:7" ht="20.100000000000001" customHeight="1" x14ac:dyDescent="0.25">
      <c r="A858" s="159"/>
      <c r="B858" s="275" t="s">
        <v>2429</v>
      </c>
      <c r="C858" s="197">
        <v>300000000</v>
      </c>
      <c r="D858" s="108">
        <v>287562000</v>
      </c>
      <c r="E858" s="276">
        <f>(D858/C858)*100</f>
        <v>95.853999999999999</v>
      </c>
      <c r="F858" s="276">
        <v>100</v>
      </c>
      <c r="G858" s="111"/>
    </row>
    <row r="859" spans="1:7" ht="20.100000000000001" customHeight="1" x14ac:dyDescent="0.25">
      <c r="A859" s="159"/>
      <c r="B859" s="275" t="s">
        <v>2430</v>
      </c>
      <c r="C859" s="197">
        <v>300000000</v>
      </c>
      <c r="D859" s="108">
        <v>300000000</v>
      </c>
      <c r="E859" s="276">
        <f>(D859/C859)*100</f>
        <v>100</v>
      </c>
      <c r="F859" s="276">
        <v>100</v>
      </c>
      <c r="G859" s="111"/>
    </row>
    <row r="860" spans="1:7" ht="9.9499999999999993" customHeight="1" x14ac:dyDescent="0.25">
      <c r="A860" s="159"/>
      <c r="B860" s="111"/>
      <c r="C860" s="582"/>
      <c r="D860" s="778"/>
      <c r="E860" s="117"/>
      <c r="F860" s="117"/>
      <c r="G860" s="111"/>
    </row>
    <row r="861" spans="1:7" s="115" customFormat="1" ht="20.100000000000001" customHeight="1" x14ac:dyDescent="0.25">
      <c r="A861" s="159"/>
      <c r="B861" s="624" t="s">
        <v>2528</v>
      </c>
      <c r="C861" s="536">
        <f>+C862</f>
        <v>3396700000</v>
      </c>
      <c r="D861" s="822">
        <f>+D862</f>
        <v>3175409883.3399997</v>
      </c>
      <c r="E861" s="114">
        <f>+D861/C861*100</f>
        <v>93.485143914387479</v>
      </c>
      <c r="F861" s="114">
        <f>(F862)/1</f>
        <v>100</v>
      </c>
      <c r="G861" s="121"/>
    </row>
    <row r="862" spans="1:7" ht="20.100000000000001" customHeight="1" x14ac:dyDescent="0.25">
      <c r="A862" s="159"/>
      <c r="B862" s="624" t="s">
        <v>2534</v>
      </c>
      <c r="C862" s="536">
        <f>SUM(C863:C870)</f>
        <v>3396700000</v>
      </c>
      <c r="D862" s="822">
        <f>SUM(D863:D870)</f>
        <v>3175409883.3399997</v>
      </c>
      <c r="E862" s="114">
        <f>(D862/C862)*100</f>
        <v>93.485143914387479</v>
      </c>
      <c r="F862" s="114">
        <f>SUM(F863:F870)/8</f>
        <v>100</v>
      </c>
      <c r="G862" s="111"/>
    </row>
    <row r="863" spans="1:7" ht="29.25" customHeight="1" x14ac:dyDescent="0.25">
      <c r="A863" s="159"/>
      <c r="B863" s="275" t="s">
        <v>2535</v>
      </c>
      <c r="C863" s="197">
        <v>154000000</v>
      </c>
      <c r="D863" s="253">
        <v>132000000</v>
      </c>
      <c r="E863" s="276">
        <f t="shared" ref="E863:E870" si="69">(D863/C863)*100</f>
        <v>85.714285714285708</v>
      </c>
      <c r="F863" s="276">
        <v>100</v>
      </c>
      <c r="G863" s="111"/>
    </row>
    <row r="864" spans="1:7" ht="29.25" customHeight="1" x14ac:dyDescent="0.25">
      <c r="A864" s="159"/>
      <c r="B864" s="275" t="s">
        <v>2536</v>
      </c>
      <c r="C864" s="197">
        <v>260000000</v>
      </c>
      <c r="D864" s="253">
        <v>189088000</v>
      </c>
      <c r="E864" s="276">
        <f t="shared" si="69"/>
        <v>72.726153846153849</v>
      </c>
      <c r="F864" s="276">
        <v>100</v>
      </c>
      <c r="G864" s="111"/>
    </row>
    <row r="865" spans="1:7" ht="29.25" customHeight="1" x14ac:dyDescent="0.25">
      <c r="A865" s="159"/>
      <c r="B865" s="275" t="s">
        <v>2537</v>
      </c>
      <c r="C865" s="197">
        <v>45000000</v>
      </c>
      <c r="D865" s="253">
        <v>38568000</v>
      </c>
      <c r="E865" s="276">
        <f t="shared" si="69"/>
        <v>85.706666666666663</v>
      </c>
      <c r="F865" s="276">
        <v>100</v>
      </c>
      <c r="G865" s="111"/>
    </row>
    <row r="866" spans="1:7" ht="20.100000000000001" customHeight="1" x14ac:dyDescent="0.25">
      <c r="A866" s="159"/>
      <c r="B866" s="275" t="s">
        <v>2538</v>
      </c>
      <c r="C866" s="197">
        <v>1730000000</v>
      </c>
      <c r="D866" s="253">
        <v>1686202531.8599999</v>
      </c>
      <c r="E866" s="276">
        <f t="shared" si="69"/>
        <v>97.468354442774569</v>
      </c>
      <c r="F866" s="276">
        <v>100</v>
      </c>
      <c r="G866" s="111"/>
    </row>
    <row r="867" spans="1:7" ht="20.100000000000001" customHeight="1" x14ac:dyDescent="0.25">
      <c r="A867" s="159"/>
      <c r="B867" s="275" t="s">
        <v>2539</v>
      </c>
      <c r="C867" s="197">
        <v>370000000</v>
      </c>
      <c r="D867" s="253">
        <v>340000000</v>
      </c>
      <c r="E867" s="276">
        <f t="shared" si="69"/>
        <v>91.891891891891902</v>
      </c>
      <c r="F867" s="276">
        <v>100</v>
      </c>
      <c r="G867" s="111"/>
    </row>
    <row r="868" spans="1:7" ht="20.100000000000001" customHeight="1" x14ac:dyDescent="0.25">
      <c r="A868" s="159"/>
      <c r="B868" s="275" t="s">
        <v>2540</v>
      </c>
      <c r="C868" s="197">
        <v>389100000</v>
      </c>
      <c r="D868" s="253">
        <v>357551351.48000002</v>
      </c>
      <c r="E868" s="276">
        <f t="shared" si="69"/>
        <v>91.891891924955033</v>
      </c>
      <c r="F868" s="276">
        <v>100</v>
      </c>
      <c r="G868" s="111"/>
    </row>
    <row r="869" spans="1:7" ht="36.75" customHeight="1" x14ac:dyDescent="0.25">
      <c r="A869" s="159"/>
      <c r="B869" s="275" t="s">
        <v>2541</v>
      </c>
      <c r="C869" s="197">
        <v>300000000</v>
      </c>
      <c r="D869" s="253">
        <v>300000000</v>
      </c>
      <c r="E869" s="276">
        <f t="shared" si="69"/>
        <v>100</v>
      </c>
      <c r="F869" s="276">
        <v>100</v>
      </c>
      <c r="G869" s="111"/>
    </row>
    <row r="870" spans="1:7" ht="36.75" customHeight="1" x14ac:dyDescent="0.25">
      <c r="A870" s="159"/>
      <c r="B870" s="275" t="s">
        <v>2542</v>
      </c>
      <c r="C870" s="197">
        <v>148600000</v>
      </c>
      <c r="D870" s="253">
        <v>132000000</v>
      </c>
      <c r="E870" s="276">
        <f t="shared" si="69"/>
        <v>88.829071332436072</v>
      </c>
      <c r="F870" s="276">
        <v>100</v>
      </c>
      <c r="G870" s="111"/>
    </row>
    <row r="871" spans="1:7" ht="18" customHeight="1" x14ac:dyDescent="0.25">
      <c r="A871" s="159"/>
      <c r="B871" s="111"/>
      <c r="C871" s="582"/>
      <c r="D871" s="778"/>
      <c r="E871" s="117"/>
      <c r="F871" s="117"/>
      <c r="G871" s="111"/>
    </row>
    <row r="872" spans="1:7" ht="20.100000000000001" customHeight="1" x14ac:dyDescent="0.25">
      <c r="A872" s="159">
        <v>14</v>
      </c>
      <c r="B872" s="277" t="s">
        <v>2546</v>
      </c>
      <c r="C872" s="595">
        <f>C873</f>
        <v>34343198400</v>
      </c>
      <c r="D872" s="779">
        <f>+D873</f>
        <v>33172088500</v>
      </c>
      <c r="E872" s="114">
        <f>+D872/C872*100</f>
        <v>96.58998009923269</v>
      </c>
      <c r="F872" s="114">
        <f>+E872</f>
        <v>96.58998009923269</v>
      </c>
      <c r="G872" s="121"/>
    </row>
    <row r="873" spans="1:7" ht="20.100000000000001" customHeight="1" x14ac:dyDescent="0.25">
      <c r="A873" s="159"/>
      <c r="B873" s="277" t="s">
        <v>2547</v>
      </c>
      <c r="C873" s="125">
        <f>C874+C902</f>
        <v>34343198400</v>
      </c>
      <c r="D873" s="823">
        <f>+D874+D902</f>
        <v>33172088500</v>
      </c>
      <c r="E873" s="114">
        <f t="shared" ref="E873:E904" si="70">+D873/C873*100</f>
        <v>96.58998009923269</v>
      </c>
      <c r="F873" s="114">
        <f t="shared" ref="F873:F904" si="71">+E873</f>
        <v>96.58998009923269</v>
      </c>
      <c r="G873" s="111"/>
    </row>
    <row r="874" spans="1:7" ht="20.100000000000001" customHeight="1" x14ac:dyDescent="0.25">
      <c r="A874" s="159"/>
      <c r="B874" s="277" t="s">
        <v>2548</v>
      </c>
      <c r="C874" s="125">
        <v>22713198400</v>
      </c>
      <c r="D874" s="824">
        <f>+D875+D881+D888+D891</f>
        <v>21542088500</v>
      </c>
      <c r="E874" s="114">
        <f t="shared" si="70"/>
        <v>94.843923434402782</v>
      </c>
      <c r="F874" s="114">
        <f t="shared" si="71"/>
        <v>94.843923434402782</v>
      </c>
      <c r="G874" s="111"/>
    </row>
    <row r="875" spans="1:7" ht="20.100000000000001" customHeight="1" x14ac:dyDescent="0.25">
      <c r="A875" s="159"/>
      <c r="B875" s="277" t="s">
        <v>109</v>
      </c>
      <c r="C875" s="615">
        <v>2400000000</v>
      </c>
      <c r="D875" s="824">
        <f>+D876+D877+D878+D879+D880</f>
        <v>2186997500</v>
      </c>
      <c r="E875" s="114">
        <f t="shared" si="70"/>
        <v>91.124895833333326</v>
      </c>
      <c r="F875" s="114">
        <f t="shared" si="71"/>
        <v>91.124895833333326</v>
      </c>
      <c r="G875" s="111"/>
    </row>
    <row r="876" spans="1:7" ht="20.100000000000001" customHeight="1" x14ac:dyDescent="0.25">
      <c r="A876" s="159"/>
      <c r="B876" s="278" t="s">
        <v>2549</v>
      </c>
      <c r="C876" s="582">
        <v>150000000</v>
      </c>
      <c r="D876" s="825">
        <v>150000000</v>
      </c>
      <c r="E876" s="117">
        <f t="shared" si="70"/>
        <v>100</v>
      </c>
      <c r="F876" s="117">
        <f t="shared" si="71"/>
        <v>100</v>
      </c>
      <c r="G876" s="111"/>
    </row>
    <row r="877" spans="1:7" ht="20.100000000000001" customHeight="1" x14ac:dyDescent="0.25">
      <c r="A877" s="159"/>
      <c r="B877" s="278" t="s">
        <v>2550</v>
      </c>
      <c r="C877" s="582">
        <v>500000000</v>
      </c>
      <c r="D877" s="825">
        <v>408738000</v>
      </c>
      <c r="E877" s="117">
        <f t="shared" si="70"/>
        <v>81.747599999999991</v>
      </c>
      <c r="F877" s="117">
        <f t="shared" si="71"/>
        <v>81.747599999999991</v>
      </c>
      <c r="G877" s="111"/>
    </row>
    <row r="878" spans="1:7" ht="20.100000000000001" customHeight="1" x14ac:dyDescent="0.25">
      <c r="A878" s="159"/>
      <c r="B878" s="278" t="s">
        <v>2551</v>
      </c>
      <c r="C878" s="582">
        <v>500000000</v>
      </c>
      <c r="D878" s="825">
        <v>498850000</v>
      </c>
      <c r="E878" s="117">
        <f t="shared" si="70"/>
        <v>99.77000000000001</v>
      </c>
      <c r="F878" s="117">
        <f t="shared" si="71"/>
        <v>99.77000000000001</v>
      </c>
      <c r="G878" s="111"/>
    </row>
    <row r="879" spans="1:7" ht="20.100000000000001" customHeight="1" x14ac:dyDescent="0.25">
      <c r="A879" s="159"/>
      <c r="B879" s="278" t="s">
        <v>2552</v>
      </c>
      <c r="C879" s="582">
        <v>500000000</v>
      </c>
      <c r="D879" s="825">
        <v>419109500</v>
      </c>
      <c r="E879" s="117">
        <f t="shared" si="70"/>
        <v>83.821899999999999</v>
      </c>
      <c r="F879" s="117">
        <f t="shared" si="71"/>
        <v>83.821899999999999</v>
      </c>
      <c r="G879" s="111"/>
    </row>
    <row r="880" spans="1:7" ht="20.100000000000001" customHeight="1" x14ac:dyDescent="0.25">
      <c r="A880" s="159"/>
      <c r="B880" s="278" t="s">
        <v>2553</v>
      </c>
      <c r="C880" s="582">
        <v>750000000</v>
      </c>
      <c r="D880" s="825">
        <v>710300000</v>
      </c>
      <c r="E880" s="117">
        <f t="shared" si="70"/>
        <v>94.706666666666663</v>
      </c>
      <c r="F880" s="117">
        <f t="shared" si="71"/>
        <v>94.706666666666663</v>
      </c>
      <c r="G880" s="111"/>
    </row>
    <row r="881" spans="1:7" s="115" customFormat="1" ht="20.100000000000001" customHeight="1" x14ac:dyDescent="0.25">
      <c r="A881" s="159"/>
      <c r="B881" s="311" t="s">
        <v>797</v>
      </c>
      <c r="C881" s="625">
        <v>7973198400</v>
      </c>
      <c r="D881" s="824">
        <f>+D882+D883+D884+D885+D886+D887</f>
        <v>7865278400</v>
      </c>
      <c r="E881" s="114">
        <f t="shared" si="70"/>
        <v>98.646465388344026</v>
      </c>
      <c r="F881" s="114">
        <f t="shared" si="71"/>
        <v>98.646465388344026</v>
      </c>
      <c r="G881" s="121"/>
    </row>
    <row r="882" spans="1:7" ht="20.100000000000001" customHeight="1" x14ac:dyDescent="0.25">
      <c r="A882" s="159"/>
      <c r="B882" s="627" t="s">
        <v>2554</v>
      </c>
      <c r="C882" s="626">
        <v>250000000</v>
      </c>
      <c r="D882" s="825">
        <v>249500000</v>
      </c>
      <c r="E882" s="117">
        <f t="shared" si="70"/>
        <v>99.8</v>
      </c>
      <c r="F882" s="117">
        <f t="shared" si="71"/>
        <v>99.8</v>
      </c>
      <c r="G882" s="111"/>
    </row>
    <row r="883" spans="1:7" ht="20.100000000000001" customHeight="1" x14ac:dyDescent="0.25">
      <c r="A883" s="159"/>
      <c r="B883" s="627" t="s">
        <v>2555</v>
      </c>
      <c r="C883" s="628">
        <v>1000000000</v>
      </c>
      <c r="D883" s="826">
        <v>975250000</v>
      </c>
      <c r="E883" s="117">
        <f t="shared" si="70"/>
        <v>97.524999999999991</v>
      </c>
      <c r="F883" s="117">
        <f t="shared" si="71"/>
        <v>97.524999999999991</v>
      </c>
      <c r="G883" s="111"/>
    </row>
    <row r="884" spans="1:7" ht="20.100000000000001" customHeight="1" x14ac:dyDescent="0.25">
      <c r="A884" s="159"/>
      <c r="B884" s="627" t="s">
        <v>2556</v>
      </c>
      <c r="C884" s="626">
        <v>2000000000</v>
      </c>
      <c r="D884" s="825">
        <v>1988950000</v>
      </c>
      <c r="E884" s="117">
        <f t="shared" si="70"/>
        <v>99.447500000000005</v>
      </c>
      <c r="F884" s="117">
        <f t="shared" si="71"/>
        <v>99.447500000000005</v>
      </c>
      <c r="G884" s="111"/>
    </row>
    <row r="885" spans="1:7" ht="29.25" customHeight="1" x14ac:dyDescent="0.25">
      <c r="A885" s="159"/>
      <c r="B885" s="853" t="s">
        <v>4008</v>
      </c>
      <c r="C885" s="626">
        <v>1623198400</v>
      </c>
      <c r="D885" s="825">
        <v>1614698400</v>
      </c>
      <c r="E885" s="117">
        <f t="shared" si="70"/>
        <v>99.476342509948253</v>
      </c>
      <c r="F885" s="117">
        <f t="shared" si="71"/>
        <v>99.476342509948253</v>
      </c>
      <c r="G885" s="111"/>
    </row>
    <row r="886" spans="1:7" ht="20.100000000000001" customHeight="1" x14ac:dyDescent="0.25">
      <c r="A886" s="159"/>
      <c r="B886" s="627" t="s">
        <v>2559</v>
      </c>
      <c r="C886" s="626">
        <v>900000000</v>
      </c>
      <c r="D886" s="825">
        <v>836880000</v>
      </c>
      <c r="E886" s="117">
        <f t="shared" si="70"/>
        <v>92.986666666666665</v>
      </c>
      <c r="F886" s="117">
        <f t="shared" si="71"/>
        <v>92.986666666666665</v>
      </c>
      <c r="G886" s="111"/>
    </row>
    <row r="887" spans="1:7" ht="20.100000000000001" customHeight="1" x14ac:dyDescent="0.25">
      <c r="A887" s="159"/>
      <c r="B887" s="627" t="s">
        <v>2560</v>
      </c>
      <c r="C887" s="626">
        <v>2200000000</v>
      </c>
      <c r="D887" s="825">
        <v>2200000000</v>
      </c>
      <c r="E887" s="117">
        <f t="shared" si="70"/>
        <v>100</v>
      </c>
      <c r="F887" s="117">
        <f t="shared" si="71"/>
        <v>100</v>
      </c>
      <c r="G887" s="111"/>
    </row>
    <row r="888" spans="1:7" ht="20.100000000000001" customHeight="1" x14ac:dyDescent="0.25">
      <c r="A888" s="159"/>
      <c r="B888" s="277" t="s">
        <v>92</v>
      </c>
      <c r="C888" s="125">
        <v>2050000000</v>
      </c>
      <c r="D888" s="824">
        <f>+D889+D890</f>
        <v>1568076000</v>
      </c>
      <c r="E888" s="114">
        <f t="shared" si="70"/>
        <v>76.491512195121942</v>
      </c>
      <c r="F888" s="114">
        <f t="shared" si="71"/>
        <v>76.491512195121942</v>
      </c>
      <c r="G888" s="111"/>
    </row>
    <row r="889" spans="1:7" ht="20.100000000000001" customHeight="1" x14ac:dyDescent="0.25">
      <c r="A889" s="159"/>
      <c r="B889" s="278" t="s">
        <v>2561</v>
      </c>
      <c r="C889" s="582">
        <v>550000000</v>
      </c>
      <c r="D889" s="825">
        <v>478900000</v>
      </c>
      <c r="E889" s="117">
        <f t="shared" si="70"/>
        <v>87.072727272727263</v>
      </c>
      <c r="F889" s="117">
        <f t="shared" si="71"/>
        <v>87.072727272727263</v>
      </c>
      <c r="G889" s="111"/>
    </row>
    <row r="890" spans="1:7" ht="20.100000000000001" customHeight="1" x14ac:dyDescent="0.25">
      <c r="A890" s="159"/>
      <c r="B890" s="278" t="s">
        <v>2562</v>
      </c>
      <c r="C890" s="582">
        <v>1500000000</v>
      </c>
      <c r="D890" s="825">
        <v>1089176000</v>
      </c>
      <c r="E890" s="117">
        <f t="shared" si="70"/>
        <v>72.611733333333333</v>
      </c>
      <c r="F890" s="117">
        <f t="shared" si="71"/>
        <v>72.611733333333333</v>
      </c>
      <c r="G890" s="111"/>
    </row>
    <row r="891" spans="1:7" ht="20.100000000000001" customHeight="1" x14ac:dyDescent="0.25">
      <c r="A891" s="159"/>
      <c r="B891" s="277" t="s">
        <v>680</v>
      </c>
      <c r="C891" s="125">
        <v>10290000000</v>
      </c>
      <c r="D891" s="824">
        <f>+D892+D893+D894+D895+D896+D897+D898+D899+D900</f>
        <v>9921736600</v>
      </c>
      <c r="E891" s="114">
        <f t="shared" si="70"/>
        <v>96.421152575315844</v>
      </c>
      <c r="F891" s="114">
        <f t="shared" si="71"/>
        <v>96.421152575315844</v>
      </c>
      <c r="G891" s="111"/>
    </row>
    <row r="892" spans="1:7" ht="20.100000000000001" customHeight="1" x14ac:dyDescent="0.25">
      <c r="A892" s="159"/>
      <c r="B892" s="278" t="s">
        <v>2563</v>
      </c>
      <c r="C892" s="582">
        <v>1000000000</v>
      </c>
      <c r="D892" s="825">
        <v>999900000</v>
      </c>
      <c r="E892" s="117">
        <f t="shared" si="70"/>
        <v>99.99</v>
      </c>
      <c r="F892" s="117">
        <f t="shared" si="71"/>
        <v>99.99</v>
      </c>
      <c r="G892" s="111"/>
    </row>
    <row r="893" spans="1:7" ht="20.100000000000001" customHeight="1" x14ac:dyDescent="0.25">
      <c r="A893" s="159"/>
      <c r="B893" s="278" t="s">
        <v>2564</v>
      </c>
      <c r="C893" s="582">
        <v>340000000</v>
      </c>
      <c r="D893" s="825">
        <v>0</v>
      </c>
      <c r="E893" s="117">
        <f t="shared" si="70"/>
        <v>0</v>
      </c>
      <c r="F893" s="117">
        <f t="shared" si="71"/>
        <v>0</v>
      </c>
      <c r="G893" s="111"/>
    </row>
    <row r="894" spans="1:7" ht="20.100000000000001" customHeight="1" x14ac:dyDescent="0.25">
      <c r="A894" s="159"/>
      <c r="B894" s="278" t="s">
        <v>2565</v>
      </c>
      <c r="C894" s="582">
        <v>150000000</v>
      </c>
      <c r="D894" s="825">
        <v>149830000</v>
      </c>
      <c r="E894" s="117">
        <f t="shared" si="70"/>
        <v>99.88666666666667</v>
      </c>
      <c r="F894" s="117">
        <f t="shared" si="71"/>
        <v>99.88666666666667</v>
      </c>
      <c r="G894" s="111"/>
    </row>
    <row r="895" spans="1:7" ht="20.100000000000001" customHeight="1" x14ac:dyDescent="0.25">
      <c r="A895" s="159"/>
      <c r="B895" s="278" t="s">
        <v>2566</v>
      </c>
      <c r="C895" s="582">
        <v>2500000000</v>
      </c>
      <c r="D895" s="825">
        <v>2492700000</v>
      </c>
      <c r="E895" s="117">
        <f t="shared" si="70"/>
        <v>99.707999999999998</v>
      </c>
      <c r="F895" s="117">
        <f t="shared" si="71"/>
        <v>99.707999999999998</v>
      </c>
      <c r="G895" s="111"/>
    </row>
    <row r="896" spans="1:7" ht="20.100000000000001" customHeight="1" x14ac:dyDescent="0.25">
      <c r="A896" s="159"/>
      <c r="B896" s="278" t="s">
        <v>2567</v>
      </c>
      <c r="C896" s="582">
        <v>1500000000</v>
      </c>
      <c r="D896" s="825">
        <v>1491700000</v>
      </c>
      <c r="E896" s="117">
        <f t="shared" si="70"/>
        <v>99.446666666666673</v>
      </c>
      <c r="F896" s="117">
        <f t="shared" si="71"/>
        <v>99.446666666666673</v>
      </c>
      <c r="G896" s="111"/>
    </row>
    <row r="897" spans="1:7" ht="20.100000000000001" customHeight="1" x14ac:dyDescent="0.25">
      <c r="A897" s="159"/>
      <c r="B897" s="278" t="s">
        <v>2568</v>
      </c>
      <c r="C897" s="582">
        <v>750000000</v>
      </c>
      <c r="D897" s="825">
        <v>749450000</v>
      </c>
      <c r="E897" s="117">
        <f t="shared" si="70"/>
        <v>99.926666666666662</v>
      </c>
      <c r="F897" s="117">
        <f t="shared" si="71"/>
        <v>99.926666666666662</v>
      </c>
      <c r="G897" s="111"/>
    </row>
    <row r="898" spans="1:7" ht="20.100000000000001" customHeight="1" x14ac:dyDescent="0.25">
      <c r="A898" s="159"/>
      <c r="B898" s="278" t="s">
        <v>2569</v>
      </c>
      <c r="C898" s="582">
        <v>2000000000</v>
      </c>
      <c r="D898" s="825">
        <v>1995148000</v>
      </c>
      <c r="E898" s="117">
        <f t="shared" si="70"/>
        <v>99.75739999999999</v>
      </c>
      <c r="F898" s="117">
        <f t="shared" si="71"/>
        <v>99.75739999999999</v>
      </c>
      <c r="G898" s="111"/>
    </row>
    <row r="899" spans="1:7" ht="20.100000000000001" customHeight="1" x14ac:dyDescent="0.25">
      <c r="A899" s="159"/>
      <c r="B899" s="278" t="s">
        <v>2570</v>
      </c>
      <c r="C899" s="582">
        <v>1000000000</v>
      </c>
      <c r="D899" s="825">
        <v>993458600</v>
      </c>
      <c r="E899" s="117">
        <f t="shared" si="70"/>
        <v>99.345860000000002</v>
      </c>
      <c r="F899" s="117">
        <f t="shared" si="71"/>
        <v>99.345860000000002</v>
      </c>
      <c r="G899" s="111"/>
    </row>
    <row r="900" spans="1:7" ht="20.100000000000001" customHeight="1" x14ac:dyDescent="0.25">
      <c r="A900" s="159"/>
      <c r="B900" s="278" t="s">
        <v>2571</v>
      </c>
      <c r="C900" s="582">
        <v>1050000000</v>
      </c>
      <c r="D900" s="825">
        <v>1049550000</v>
      </c>
      <c r="E900" s="117">
        <f t="shared" si="70"/>
        <v>99.957142857142856</v>
      </c>
      <c r="F900" s="117">
        <f t="shared" si="71"/>
        <v>99.957142857142856</v>
      </c>
      <c r="G900" s="111"/>
    </row>
    <row r="901" spans="1:7" ht="17.25" customHeight="1" x14ac:dyDescent="0.25">
      <c r="A901" s="159"/>
      <c r="B901" s="278"/>
      <c r="C901" s="582"/>
      <c r="D901" s="825"/>
      <c r="E901" s="114"/>
      <c r="F901" s="114">
        <f t="shared" si="71"/>
        <v>0</v>
      </c>
      <c r="G901" s="111"/>
    </row>
    <row r="902" spans="1:7" ht="20.100000000000001" customHeight="1" x14ac:dyDescent="0.25">
      <c r="A902" s="159"/>
      <c r="B902" s="277" t="s">
        <v>1138</v>
      </c>
      <c r="C902" s="125">
        <v>11630000000</v>
      </c>
      <c r="D902" s="778">
        <f>+D903</f>
        <v>11630000000</v>
      </c>
      <c r="E902" s="114">
        <f t="shared" si="70"/>
        <v>100</v>
      </c>
      <c r="F902" s="114">
        <f t="shared" si="71"/>
        <v>100</v>
      </c>
      <c r="G902" s="111"/>
    </row>
    <row r="903" spans="1:7" ht="20.100000000000001" customHeight="1" x14ac:dyDescent="0.25">
      <c r="A903" s="159"/>
      <c r="B903" s="277" t="s">
        <v>4009</v>
      </c>
      <c r="C903" s="125">
        <v>11630000000</v>
      </c>
      <c r="D903" s="778">
        <f>+D904</f>
        <v>11630000000</v>
      </c>
      <c r="E903" s="114">
        <f t="shared" si="70"/>
        <v>100</v>
      </c>
      <c r="F903" s="114">
        <f t="shared" si="71"/>
        <v>100</v>
      </c>
      <c r="G903" s="111"/>
    </row>
    <row r="904" spans="1:7" ht="20.100000000000001" customHeight="1" x14ac:dyDescent="0.25">
      <c r="A904" s="159"/>
      <c r="B904" s="278" t="s">
        <v>2572</v>
      </c>
      <c r="C904" s="582">
        <v>11630000000</v>
      </c>
      <c r="D904" s="825">
        <v>11630000000</v>
      </c>
      <c r="E904" s="117">
        <f t="shared" si="70"/>
        <v>100</v>
      </c>
      <c r="F904" s="117">
        <f t="shared" si="71"/>
        <v>100</v>
      </c>
      <c r="G904" s="111"/>
    </row>
    <row r="905" spans="1:7" ht="18" customHeight="1" x14ac:dyDescent="0.25">
      <c r="A905" s="159"/>
      <c r="B905" s="32"/>
      <c r="C905" s="582"/>
      <c r="D905" s="778"/>
      <c r="E905" s="117"/>
      <c r="F905" s="117"/>
      <c r="G905" s="111"/>
    </row>
    <row r="906" spans="1:7" s="115" customFormat="1" ht="20.100000000000001" customHeight="1" x14ac:dyDescent="0.25">
      <c r="A906" s="159">
        <v>15</v>
      </c>
      <c r="B906" s="241" t="s">
        <v>2634</v>
      </c>
      <c r="C906" s="593">
        <f>C907+C925</f>
        <v>36343214700</v>
      </c>
      <c r="D906" s="827">
        <f>D907+D925</f>
        <v>21361167400</v>
      </c>
      <c r="E906" s="336">
        <f>(D906/C906)*100</f>
        <v>58.776218824693018</v>
      </c>
      <c r="F906" s="336">
        <f>(F907+F924)/2</f>
        <v>44.125</v>
      </c>
      <c r="G906" s="121"/>
    </row>
    <row r="907" spans="1:7" ht="20.100000000000001" customHeight="1" x14ac:dyDescent="0.25">
      <c r="A907" s="159"/>
      <c r="B907" s="237" t="s">
        <v>82</v>
      </c>
      <c r="C907" s="536">
        <v>17566420700</v>
      </c>
      <c r="D907" s="828">
        <f>D908+D912+D918+D921</f>
        <v>10488882400</v>
      </c>
      <c r="E907" s="386">
        <f t="shared" ref="E907:E923" si="72">(D907/C907)*100</f>
        <v>59.709844020757174</v>
      </c>
      <c r="F907" s="368">
        <f>(F908+F912+F918+F921)/4</f>
        <v>88.25</v>
      </c>
      <c r="G907" s="111"/>
    </row>
    <row r="908" spans="1:7" ht="20.100000000000001" customHeight="1" x14ac:dyDescent="0.25">
      <c r="A908" s="159"/>
      <c r="B908" s="580" t="s">
        <v>797</v>
      </c>
      <c r="C908" s="536">
        <v>2684288600</v>
      </c>
      <c r="D908" s="828">
        <f>SUM(D909:D911)</f>
        <v>2675088600</v>
      </c>
      <c r="E908" s="386">
        <f t="shared" si="72"/>
        <v>99.657264870848834</v>
      </c>
      <c r="F908" s="368">
        <f>(F909+F910+F911)/3</f>
        <v>100</v>
      </c>
      <c r="G908" s="111"/>
    </row>
    <row r="909" spans="1:7" ht="20.100000000000001" customHeight="1" x14ac:dyDescent="0.25">
      <c r="A909" s="159"/>
      <c r="B909" s="581" t="s">
        <v>4010</v>
      </c>
      <c r="C909" s="582">
        <v>1222000000</v>
      </c>
      <c r="D909" s="829">
        <v>1212800000</v>
      </c>
      <c r="E909" s="388">
        <f t="shared" si="72"/>
        <v>99.247135842880525</v>
      </c>
      <c r="F909" s="369">
        <v>100</v>
      </c>
      <c r="G909" s="111"/>
    </row>
    <row r="910" spans="1:7" ht="20.100000000000001" customHeight="1" x14ac:dyDescent="0.25">
      <c r="A910" s="159"/>
      <c r="B910" s="581" t="s">
        <v>4011</v>
      </c>
      <c r="C910" s="582">
        <v>382288600</v>
      </c>
      <c r="D910" s="829">
        <v>382288600</v>
      </c>
      <c r="E910" s="388">
        <f t="shared" si="72"/>
        <v>100</v>
      </c>
      <c r="F910" s="369">
        <v>100</v>
      </c>
      <c r="G910" s="111"/>
    </row>
    <row r="911" spans="1:7" ht="20.100000000000001" customHeight="1" x14ac:dyDescent="0.25">
      <c r="A911" s="159"/>
      <c r="B911" s="581" t="s">
        <v>4012</v>
      </c>
      <c r="C911" s="582">
        <v>1080000000</v>
      </c>
      <c r="D911" s="829">
        <v>1080000000</v>
      </c>
      <c r="E911" s="388">
        <f t="shared" si="72"/>
        <v>100</v>
      </c>
      <c r="F911" s="369">
        <v>100</v>
      </c>
      <c r="G911" s="111"/>
    </row>
    <row r="912" spans="1:7" ht="20.100000000000001" customHeight="1" x14ac:dyDescent="0.25">
      <c r="A912" s="159"/>
      <c r="B912" s="580" t="s">
        <v>4013</v>
      </c>
      <c r="C912" s="125">
        <v>11121061300</v>
      </c>
      <c r="D912" s="830">
        <f>SUM(D913:D917)</f>
        <v>4237923000</v>
      </c>
      <c r="E912" s="386">
        <f>(D912/C912)*100</f>
        <v>38.107181371259955</v>
      </c>
      <c r="F912" s="367">
        <f>(F913+F914+F915+F916+F917)/5</f>
        <v>63</v>
      </c>
      <c r="G912" s="111"/>
    </row>
    <row r="913" spans="1:7" ht="20.100000000000001" customHeight="1" x14ac:dyDescent="0.25">
      <c r="A913" s="159"/>
      <c r="B913" s="581" t="s">
        <v>4014</v>
      </c>
      <c r="C913" s="582">
        <v>2130000000</v>
      </c>
      <c r="D913" s="829">
        <v>0</v>
      </c>
      <c r="E913" s="388">
        <f t="shared" si="72"/>
        <v>0</v>
      </c>
      <c r="F913" s="369">
        <v>0</v>
      </c>
      <c r="G913" s="111"/>
    </row>
    <row r="914" spans="1:7" ht="20.100000000000001" customHeight="1" x14ac:dyDescent="0.25">
      <c r="A914" s="159"/>
      <c r="B914" s="581" t="s">
        <v>1701</v>
      </c>
      <c r="C914" s="582">
        <v>3000000000</v>
      </c>
      <c r="D914" s="829">
        <v>2988000000</v>
      </c>
      <c r="E914" s="388">
        <f t="shared" si="72"/>
        <v>99.6</v>
      </c>
      <c r="F914" s="369">
        <v>100</v>
      </c>
      <c r="G914" s="111"/>
    </row>
    <row r="915" spans="1:7" ht="20.100000000000001" customHeight="1" x14ac:dyDescent="0.25">
      <c r="A915" s="159"/>
      <c r="B915" s="581" t="s">
        <v>4015</v>
      </c>
      <c r="C915" s="582">
        <v>810000000</v>
      </c>
      <c r="D915" s="829">
        <v>512000000</v>
      </c>
      <c r="E915" s="388">
        <f t="shared" si="72"/>
        <v>63.209876543209873</v>
      </c>
      <c r="F915" s="369">
        <v>100</v>
      </c>
      <c r="G915" s="111"/>
    </row>
    <row r="916" spans="1:7" ht="20.100000000000001" customHeight="1" x14ac:dyDescent="0.25">
      <c r="A916" s="159"/>
      <c r="B916" s="581" t="s">
        <v>2639</v>
      </c>
      <c r="C916" s="582">
        <v>4969138300</v>
      </c>
      <c r="D916" s="829">
        <v>526000000</v>
      </c>
      <c r="E916" s="388">
        <f t="shared" si="72"/>
        <v>10.585336294624764</v>
      </c>
      <c r="F916" s="369">
        <v>15</v>
      </c>
      <c r="G916" s="111"/>
    </row>
    <row r="917" spans="1:7" ht="20.100000000000001" customHeight="1" x14ac:dyDescent="0.25">
      <c r="A917" s="159"/>
      <c r="B917" s="581" t="s">
        <v>2642</v>
      </c>
      <c r="C917" s="582">
        <v>211923000</v>
      </c>
      <c r="D917" s="829">
        <v>211923000</v>
      </c>
      <c r="E917" s="388">
        <f t="shared" si="72"/>
        <v>100</v>
      </c>
      <c r="F917" s="369">
        <v>100</v>
      </c>
      <c r="G917" s="111"/>
    </row>
    <row r="918" spans="1:7" ht="20.100000000000001" customHeight="1" x14ac:dyDescent="0.25">
      <c r="A918" s="159"/>
      <c r="B918" s="580" t="s">
        <v>916</v>
      </c>
      <c r="C918" s="125">
        <v>2206070800</v>
      </c>
      <c r="D918" s="830">
        <f>SUM(D919:D920)</f>
        <v>2020870800</v>
      </c>
      <c r="E918" s="386">
        <f t="shared" si="72"/>
        <v>91.60498384729992</v>
      </c>
      <c r="F918" s="368">
        <f>(F919+F920)/2</f>
        <v>90</v>
      </c>
      <c r="G918" s="111"/>
    </row>
    <row r="919" spans="1:7" ht="20.100000000000001" customHeight="1" x14ac:dyDescent="0.25">
      <c r="A919" s="159"/>
      <c r="B919" s="581" t="s">
        <v>4015</v>
      </c>
      <c r="C919" s="582">
        <v>575000000</v>
      </c>
      <c r="D919" s="829">
        <v>409000000</v>
      </c>
      <c r="E919" s="388">
        <f t="shared" si="72"/>
        <v>71.130434782608702</v>
      </c>
      <c r="F919" s="369">
        <v>80</v>
      </c>
      <c r="G919" s="111"/>
    </row>
    <row r="920" spans="1:7" ht="20.100000000000001" customHeight="1" x14ac:dyDescent="0.25">
      <c r="A920" s="159"/>
      <c r="B920" s="581" t="s">
        <v>2642</v>
      </c>
      <c r="C920" s="582">
        <v>1631070800</v>
      </c>
      <c r="D920" s="831">
        <v>1611870800</v>
      </c>
      <c r="E920" s="388">
        <f t="shared" si="72"/>
        <v>98.822859191642692</v>
      </c>
      <c r="F920" s="369">
        <v>100</v>
      </c>
      <c r="G920" s="111"/>
    </row>
    <row r="921" spans="1:7" ht="20.100000000000001" customHeight="1" x14ac:dyDescent="0.25">
      <c r="A921" s="159"/>
      <c r="B921" s="580" t="s">
        <v>4016</v>
      </c>
      <c r="C921" s="125">
        <v>1555000000</v>
      </c>
      <c r="D921" s="830">
        <f>SUM(D922:D923)</f>
        <v>1555000000</v>
      </c>
      <c r="E921" s="386">
        <f t="shared" si="72"/>
        <v>100</v>
      </c>
      <c r="F921" s="368">
        <f>(F922+F923)/2</f>
        <v>100</v>
      </c>
      <c r="G921" s="111"/>
    </row>
    <row r="922" spans="1:7" ht="20.100000000000001" customHeight="1" x14ac:dyDescent="0.25">
      <c r="A922" s="159"/>
      <c r="B922" s="279" t="s">
        <v>3800</v>
      </c>
      <c r="C922" s="582">
        <v>635000000</v>
      </c>
      <c r="D922" s="829">
        <v>635000000</v>
      </c>
      <c r="E922" s="386">
        <f t="shared" si="72"/>
        <v>100</v>
      </c>
      <c r="F922" s="369">
        <v>100</v>
      </c>
      <c r="G922" s="111"/>
    </row>
    <row r="923" spans="1:7" ht="31.5" customHeight="1" x14ac:dyDescent="0.25">
      <c r="A923" s="159"/>
      <c r="B923" s="279" t="s">
        <v>4017</v>
      </c>
      <c r="C923" s="582">
        <v>920000000</v>
      </c>
      <c r="D923" s="829">
        <v>920000000</v>
      </c>
      <c r="E923" s="388">
        <f t="shared" si="72"/>
        <v>100</v>
      </c>
      <c r="F923" s="369">
        <v>100</v>
      </c>
      <c r="G923" s="111"/>
    </row>
    <row r="924" spans="1:7" ht="17.25" customHeight="1" x14ac:dyDescent="0.25">
      <c r="A924" s="159"/>
      <c r="B924" s="32"/>
      <c r="C924" s="582"/>
      <c r="D924" s="778"/>
      <c r="E924" s="117"/>
      <c r="F924" s="114"/>
      <c r="G924" s="111"/>
    </row>
    <row r="925" spans="1:7" ht="20.100000000000001" customHeight="1" x14ac:dyDescent="0.25">
      <c r="A925" s="159"/>
      <c r="B925" s="580" t="s">
        <v>4018</v>
      </c>
      <c r="C925" s="125">
        <v>18776794000</v>
      </c>
      <c r="D925" s="822">
        <f>+D926</f>
        <v>10872285000</v>
      </c>
      <c r="E925" s="629">
        <f>D925/C925*100</f>
        <v>57.902776160829163</v>
      </c>
      <c r="F925" s="114">
        <f>F926</f>
        <v>41.25</v>
      </c>
      <c r="G925" s="111"/>
    </row>
    <row r="926" spans="1:7" ht="20.100000000000001" customHeight="1" x14ac:dyDescent="0.25">
      <c r="A926" s="159"/>
      <c r="B926" s="311" t="s">
        <v>2693</v>
      </c>
      <c r="C926" s="288">
        <f>SUM(C927:C934)</f>
        <v>18776794000</v>
      </c>
      <c r="D926" s="830">
        <f>SUM(D927:D934)</f>
        <v>10872285000</v>
      </c>
      <c r="E926" s="368">
        <f t="shared" ref="E926:E934" si="73">(D926/C926)*100</f>
        <v>57.902776160829163</v>
      </c>
      <c r="F926" s="368">
        <f>SUM(F927:F934)/8</f>
        <v>41.25</v>
      </c>
      <c r="G926" s="111"/>
    </row>
    <row r="927" spans="1:7" ht="36.75" customHeight="1" x14ac:dyDescent="0.25">
      <c r="A927" s="159"/>
      <c r="B927" s="542" t="s">
        <v>4019</v>
      </c>
      <c r="C927" s="286">
        <v>5702500000</v>
      </c>
      <c r="D927" s="829">
        <v>5428285000</v>
      </c>
      <c r="E927" s="369">
        <f t="shared" si="73"/>
        <v>95.191319596668123</v>
      </c>
      <c r="F927" s="369">
        <v>100</v>
      </c>
      <c r="G927" s="111"/>
    </row>
    <row r="928" spans="1:7" ht="36.75" customHeight="1" x14ac:dyDescent="0.25">
      <c r="A928" s="159"/>
      <c r="B928" s="412" t="s">
        <v>2694</v>
      </c>
      <c r="C928" s="286">
        <v>1371460000</v>
      </c>
      <c r="D928" s="829">
        <v>0</v>
      </c>
      <c r="E928" s="369">
        <f t="shared" si="73"/>
        <v>0</v>
      </c>
      <c r="F928" s="369">
        <v>100</v>
      </c>
      <c r="G928" s="111"/>
    </row>
    <row r="929" spans="1:30" ht="36.75" customHeight="1" x14ac:dyDescent="0.25">
      <c r="A929" s="159"/>
      <c r="B929" s="542" t="s">
        <v>2695</v>
      </c>
      <c r="C929" s="286">
        <v>411015000</v>
      </c>
      <c r="D929" s="829">
        <v>0</v>
      </c>
      <c r="E929" s="369">
        <f t="shared" si="73"/>
        <v>0</v>
      </c>
      <c r="F929" s="369">
        <v>0</v>
      </c>
      <c r="G929" s="111"/>
    </row>
    <row r="930" spans="1:30" ht="36.75" customHeight="1" x14ac:dyDescent="0.25">
      <c r="A930" s="159"/>
      <c r="B930" s="542" t="s">
        <v>2696</v>
      </c>
      <c r="C930" s="286">
        <v>1206144000</v>
      </c>
      <c r="D930" s="829">
        <v>0</v>
      </c>
      <c r="E930" s="369">
        <f t="shared" si="73"/>
        <v>0</v>
      </c>
      <c r="F930" s="369">
        <v>0</v>
      </c>
      <c r="G930" s="111"/>
    </row>
    <row r="931" spans="1:30" ht="36.75" customHeight="1" x14ac:dyDescent="0.25">
      <c r="A931" s="159"/>
      <c r="B931" s="542" t="s">
        <v>2697</v>
      </c>
      <c r="C931" s="286">
        <v>656100000</v>
      </c>
      <c r="D931" s="829">
        <v>0</v>
      </c>
      <c r="E931" s="369">
        <f t="shared" si="73"/>
        <v>0</v>
      </c>
      <c r="F931" s="369">
        <v>0</v>
      </c>
      <c r="G931" s="111"/>
    </row>
    <row r="932" spans="1:30" ht="29.25" customHeight="1" x14ac:dyDescent="0.25">
      <c r="A932" s="159"/>
      <c r="B932" s="542" t="s">
        <v>2698</v>
      </c>
      <c r="C932" s="286">
        <v>629575000</v>
      </c>
      <c r="D932" s="829">
        <v>0</v>
      </c>
      <c r="E932" s="369">
        <f t="shared" si="73"/>
        <v>0</v>
      </c>
      <c r="F932" s="369">
        <v>0</v>
      </c>
      <c r="G932" s="111"/>
    </row>
    <row r="933" spans="1:30" ht="29.25" customHeight="1" x14ac:dyDescent="0.25">
      <c r="A933" s="159"/>
      <c r="B933" s="542" t="s">
        <v>2699</v>
      </c>
      <c r="C933" s="286">
        <v>4250000000</v>
      </c>
      <c r="D933" s="829">
        <v>4250000000</v>
      </c>
      <c r="E933" s="369">
        <f t="shared" si="73"/>
        <v>100</v>
      </c>
      <c r="F933" s="369">
        <v>100</v>
      </c>
      <c r="G933" s="111"/>
    </row>
    <row r="934" spans="1:30" ht="20.100000000000001" customHeight="1" x14ac:dyDescent="0.25">
      <c r="A934" s="159"/>
      <c r="B934" s="542" t="s">
        <v>2700</v>
      </c>
      <c r="C934" s="286">
        <v>4550000000</v>
      </c>
      <c r="D934" s="829">
        <v>1194000000</v>
      </c>
      <c r="E934" s="369">
        <f t="shared" si="73"/>
        <v>26.241758241758241</v>
      </c>
      <c r="F934" s="369">
        <v>30</v>
      </c>
      <c r="G934" s="111"/>
    </row>
    <row r="935" spans="1:30" ht="9.9499999999999993" customHeight="1" x14ac:dyDescent="0.25">
      <c r="A935" s="159"/>
      <c r="B935" s="32"/>
      <c r="C935" s="582"/>
      <c r="D935" s="778"/>
      <c r="E935" s="117"/>
      <c r="F935" s="117"/>
      <c r="G935" s="111"/>
    </row>
    <row r="936" spans="1:30" s="105" customFormat="1" ht="20.100000000000001" customHeight="1" x14ac:dyDescent="0.25">
      <c r="A936" s="159">
        <v>16</v>
      </c>
      <c r="B936" s="630" t="s">
        <v>2702</v>
      </c>
      <c r="C936" s="595">
        <f>C937+C970</f>
        <v>29663364000</v>
      </c>
      <c r="D936" s="779">
        <f>+D937</f>
        <v>27124230915</v>
      </c>
      <c r="E936" s="114">
        <f>+D936/C936*100</f>
        <v>91.440171502463443</v>
      </c>
      <c r="F936" s="114">
        <f>(F937+F970)/2</f>
        <v>98.317249201617358</v>
      </c>
      <c r="G936" s="121"/>
      <c r="H936" s="115"/>
      <c r="I936" s="115"/>
      <c r="J936" s="115"/>
      <c r="K936" s="115"/>
      <c r="L936" s="115"/>
      <c r="M936" s="115"/>
      <c r="N936" s="115"/>
      <c r="O936" s="115"/>
      <c r="P936" s="115"/>
      <c r="Q936" s="115"/>
      <c r="R936" s="115"/>
      <c r="S936" s="115"/>
      <c r="T936" s="115"/>
      <c r="U936" s="115"/>
      <c r="V936" s="115"/>
      <c r="W936" s="115"/>
      <c r="X936" s="115"/>
      <c r="Y936" s="115"/>
      <c r="Z936" s="115"/>
      <c r="AA936" s="115"/>
      <c r="AB936" s="115"/>
      <c r="AC936" s="115"/>
      <c r="AD936" s="115"/>
    </row>
    <row r="937" spans="1:30" ht="20.100000000000001" customHeight="1" x14ac:dyDescent="0.25">
      <c r="A937" s="159"/>
      <c r="B937" s="630" t="s">
        <v>2703</v>
      </c>
      <c r="C937" s="125">
        <v>27126199115</v>
      </c>
      <c r="D937" s="832">
        <f>D938+D944+D955+D964+D966</f>
        <v>27124230915</v>
      </c>
      <c r="E937" s="114">
        <f>+D937/C937*100</f>
        <v>99.99274428388712</v>
      </c>
      <c r="F937" s="114">
        <f>(F938+F944+F955+F964+F966)/5</f>
        <v>96.63449840323473</v>
      </c>
      <c r="G937" s="111"/>
    </row>
    <row r="938" spans="1:30" ht="20.100000000000001" customHeight="1" x14ac:dyDescent="0.25">
      <c r="A938" s="159"/>
      <c r="B938" s="295" t="s">
        <v>797</v>
      </c>
      <c r="C938" s="125">
        <v>1483168200</v>
      </c>
      <c r="D938" s="833">
        <f>SUM(D939:D943)</f>
        <v>1482700000</v>
      </c>
      <c r="E938" s="114">
        <f t="shared" ref="E938:E968" si="74">+D938/C938*100</f>
        <v>99.968432440771053</v>
      </c>
      <c r="F938" s="114">
        <f>SUM(F939:F943)/5</f>
        <v>99.958413310582927</v>
      </c>
      <c r="G938" s="111"/>
    </row>
    <row r="939" spans="1:30" ht="20.100000000000001" customHeight="1" x14ac:dyDescent="0.25">
      <c r="A939" s="159"/>
      <c r="B939" s="278" t="s">
        <v>2704</v>
      </c>
      <c r="C939" s="582">
        <v>225168200</v>
      </c>
      <c r="D939" s="834">
        <v>224700000</v>
      </c>
      <c r="E939" s="117">
        <f t="shared" si="74"/>
        <v>99.792066552914676</v>
      </c>
      <c r="F939" s="117">
        <f>+E939</f>
        <v>99.792066552914676</v>
      </c>
      <c r="G939" s="111"/>
    </row>
    <row r="940" spans="1:30" ht="20.100000000000001" customHeight="1" x14ac:dyDescent="0.25">
      <c r="A940" s="159"/>
      <c r="B940" s="278" t="s">
        <v>96</v>
      </c>
      <c r="C940" s="582">
        <v>137000000</v>
      </c>
      <c r="D940" s="834">
        <v>137000000</v>
      </c>
      <c r="E940" s="117">
        <f t="shared" si="74"/>
        <v>100</v>
      </c>
      <c r="F940" s="117">
        <f t="shared" ref="F940:F941" si="75">+E940</f>
        <v>100</v>
      </c>
      <c r="G940" s="111"/>
    </row>
    <row r="941" spans="1:30" ht="20.100000000000001" customHeight="1" x14ac:dyDescent="0.25">
      <c r="A941" s="159"/>
      <c r="B941" s="279" t="s">
        <v>985</v>
      </c>
      <c r="C941" s="582">
        <v>475000000</v>
      </c>
      <c r="D941" s="835">
        <v>475000000</v>
      </c>
      <c r="E941" s="117">
        <f t="shared" si="74"/>
        <v>100</v>
      </c>
      <c r="F941" s="117">
        <f t="shared" si="75"/>
        <v>100</v>
      </c>
      <c r="G941" s="111"/>
    </row>
    <row r="942" spans="1:30" ht="20.100000000000001" customHeight="1" x14ac:dyDescent="0.25">
      <c r="A942" s="159"/>
      <c r="B942" s="279" t="s">
        <v>2705</v>
      </c>
      <c r="C942" s="582">
        <v>36000000</v>
      </c>
      <c r="D942" s="834">
        <v>36000000</v>
      </c>
      <c r="E942" s="117">
        <f t="shared" si="74"/>
        <v>100</v>
      </c>
      <c r="F942" s="117">
        <v>100</v>
      </c>
      <c r="G942" s="111"/>
    </row>
    <row r="943" spans="1:30" ht="20.100000000000001" customHeight="1" x14ac:dyDescent="0.25">
      <c r="A943" s="159"/>
      <c r="B943" s="279" t="s">
        <v>2706</v>
      </c>
      <c r="C943" s="582">
        <v>610000000</v>
      </c>
      <c r="D943" s="834">
        <v>610000000</v>
      </c>
      <c r="E943" s="117">
        <f t="shared" si="74"/>
        <v>100</v>
      </c>
      <c r="F943" s="117">
        <v>100</v>
      </c>
      <c r="G943" s="111"/>
    </row>
    <row r="944" spans="1:30" ht="20.100000000000001" customHeight="1" x14ac:dyDescent="0.25">
      <c r="A944" s="159"/>
      <c r="B944" s="295" t="s">
        <v>680</v>
      </c>
      <c r="C944" s="125">
        <v>16908117480</v>
      </c>
      <c r="D944" s="832">
        <f>SUM(D945:D954)</f>
        <v>16908117480</v>
      </c>
      <c r="E944" s="114">
        <f t="shared" si="74"/>
        <v>100</v>
      </c>
      <c r="F944" s="114">
        <f>SUM(F945:F954)/9</f>
        <v>96.191169622648701</v>
      </c>
      <c r="G944" s="111"/>
    </row>
    <row r="945" spans="1:7" ht="20.100000000000001" customHeight="1" x14ac:dyDescent="0.25">
      <c r="A945" s="159"/>
      <c r="B945" s="279" t="s">
        <v>2707</v>
      </c>
      <c r="C945" s="537">
        <v>860000000</v>
      </c>
      <c r="D945" s="834">
        <v>860000000</v>
      </c>
      <c r="E945" s="117">
        <f t="shared" si="74"/>
        <v>100</v>
      </c>
      <c r="F945" s="117">
        <f>+E945</f>
        <v>100</v>
      </c>
      <c r="G945" s="111"/>
    </row>
    <row r="946" spans="1:7" ht="20.100000000000001" customHeight="1" x14ac:dyDescent="0.25">
      <c r="A946" s="159"/>
      <c r="B946" s="279" t="s">
        <v>96</v>
      </c>
      <c r="C946" s="537">
        <v>250000000</v>
      </c>
      <c r="D946" s="835">
        <v>250000000</v>
      </c>
      <c r="E946" s="117">
        <f t="shared" si="74"/>
        <v>100</v>
      </c>
      <c r="F946" s="117">
        <v>74.300000000000011</v>
      </c>
      <c r="G946" s="111"/>
    </row>
    <row r="947" spans="1:7" ht="29.25" customHeight="1" x14ac:dyDescent="0.25">
      <c r="A947" s="159"/>
      <c r="B947" s="279" t="s">
        <v>2708</v>
      </c>
      <c r="C947" s="537">
        <v>1275000000</v>
      </c>
      <c r="D947" s="834">
        <v>1275000000</v>
      </c>
      <c r="E947" s="117">
        <f t="shared" si="74"/>
        <v>100</v>
      </c>
      <c r="F947" s="117">
        <v>100</v>
      </c>
      <c r="G947" s="111"/>
    </row>
    <row r="948" spans="1:7" ht="20.100000000000001" customHeight="1" x14ac:dyDescent="0.25">
      <c r="A948" s="159"/>
      <c r="B948" s="279" t="s">
        <v>2709</v>
      </c>
      <c r="C948" s="537">
        <v>650000000</v>
      </c>
      <c r="D948" s="834">
        <f>C948</f>
        <v>650000000</v>
      </c>
      <c r="E948" s="117">
        <f t="shared" si="74"/>
        <v>100</v>
      </c>
      <c r="F948" s="117">
        <f>+E948</f>
        <v>100</v>
      </c>
      <c r="G948" s="111"/>
    </row>
    <row r="949" spans="1:7" ht="20.100000000000001" customHeight="1" x14ac:dyDescent="0.25">
      <c r="A949" s="159"/>
      <c r="B949" s="279" t="s">
        <v>2710</v>
      </c>
      <c r="C949" s="537">
        <v>390000000</v>
      </c>
      <c r="D949" s="834">
        <v>390000000</v>
      </c>
      <c r="E949" s="117">
        <f t="shared" si="74"/>
        <v>100</v>
      </c>
      <c r="F949" s="117">
        <v>100</v>
      </c>
      <c r="G949" s="111"/>
    </row>
    <row r="950" spans="1:7" ht="20.100000000000001" customHeight="1" x14ac:dyDescent="0.25">
      <c r="A950" s="159"/>
      <c r="B950" s="279" t="s">
        <v>2711</v>
      </c>
      <c r="C950" s="537">
        <v>4247000000</v>
      </c>
      <c r="D950" s="834">
        <v>4247000000</v>
      </c>
      <c r="E950" s="117">
        <f t="shared" si="74"/>
        <v>100</v>
      </c>
      <c r="F950" s="117">
        <v>97.230162467624211</v>
      </c>
      <c r="G950" s="111"/>
    </row>
    <row r="951" spans="1:7" ht="20.100000000000001" customHeight="1" x14ac:dyDescent="0.25">
      <c r="A951" s="159"/>
      <c r="B951" s="278" t="s">
        <v>2712</v>
      </c>
      <c r="C951" s="582">
        <v>2148000000</v>
      </c>
      <c r="D951" s="834">
        <v>2148000000</v>
      </c>
      <c r="E951" s="117">
        <f t="shared" si="74"/>
        <v>100</v>
      </c>
      <c r="F951" s="117">
        <v>100</v>
      </c>
      <c r="G951" s="111"/>
    </row>
    <row r="952" spans="1:7" ht="20.100000000000001" customHeight="1" x14ac:dyDescent="0.25">
      <c r="A952" s="159"/>
      <c r="B952" s="279" t="s">
        <v>2713</v>
      </c>
      <c r="C952" s="537">
        <v>3888000000</v>
      </c>
      <c r="D952" s="835">
        <v>3888000000</v>
      </c>
      <c r="E952" s="117">
        <f t="shared" si="74"/>
        <v>100</v>
      </c>
      <c r="F952" s="117">
        <v>100</v>
      </c>
      <c r="G952" s="111"/>
    </row>
    <row r="953" spans="1:7" ht="20.100000000000001" customHeight="1" x14ac:dyDescent="0.25">
      <c r="A953" s="159"/>
      <c r="B953" s="279" t="s">
        <v>2714</v>
      </c>
      <c r="C953" s="537">
        <v>2400000000</v>
      </c>
      <c r="D953" s="834">
        <f>C953-K953</f>
        <v>2400000000</v>
      </c>
      <c r="E953" s="117">
        <f t="shared" si="74"/>
        <v>100</v>
      </c>
      <c r="F953" s="117">
        <v>51.633749999999999</v>
      </c>
      <c r="G953" s="111"/>
    </row>
    <row r="954" spans="1:7" ht="20.100000000000001" customHeight="1" x14ac:dyDescent="0.25">
      <c r="A954" s="159"/>
      <c r="B954" s="279" t="s">
        <v>2715</v>
      </c>
      <c r="C954" s="537">
        <v>800117480</v>
      </c>
      <c r="D954" s="834">
        <f>C954-K954</f>
        <v>800117480</v>
      </c>
      <c r="E954" s="117">
        <f t="shared" si="74"/>
        <v>100</v>
      </c>
      <c r="F954" s="117">
        <v>42.556614136214094</v>
      </c>
      <c r="G954" s="111"/>
    </row>
    <row r="955" spans="1:7" ht="20.100000000000001" customHeight="1" x14ac:dyDescent="0.25">
      <c r="A955" s="159"/>
      <c r="B955" s="280" t="s">
        <v>693</v>
      </c>
      <c r="C955" s="125">
        <v>7415841005</v>
      </c>
      <c r="D955" s="836">
        <f>SUM(D956:D963)</f>
        <v>7414341005</v>
      </c>
      <c r="E955" s="114">
        <f t="shared" si="74"/>
        <v>99.979773029127941</v>
      </c>
      <c r="F955" s="114">
        <f>SUM(F956:F963)/8</f>
        <v>87.022909082942022</v>
      </c>
      <c r="G955" s="111"/>
    </row>
    <row r="956" spans="1:7" ht="20.100000000000001" customHeight="1" x14ac:dyDescent="0.25">
      <c r="A956" s="159"/>
      <c r="B956" s="279" t="s">
        <v>2716</v>
      </c>
      <c r="C956" s="537">
        <v>1718000000</v>
      </c>
      <c r="D956" s="834">
        <f>C956-K956</f>
        <v>1718000000</v>
      </c>
      <c r="E956" s="117">
        <f t="shared" si="74"/>
        <v>100</v>
      </c>
      <c r="F956" s="117">
        <v>51.614086146682183</v>
      </c>
      <c r="G956" s="111"/>
    </row>
    <row r="957" spans="1:7" ht="29.25" customHeight="1" x14ac:dyDescent="0.25">
      <c r="A957" s="159"/>
      <c r="B957" s="279" t="s">
        <v>2717</v>
      </c>
      <c r="C957" s="537">
        <v>1250000000</v>
      </c>
      <c r="D957" s="834">
        <f>C957-K957</f>
        <v>1250000000</v>
      </c>
      <c r="E957" s="117">
        <f t="shared" si="74"/>
        <v>100</v>
      </c>
      <c r="F957" s="117">
        <v>46.698399999999999</v>
      </c>
      <c r="G957" s="111"/>
    </row>
    <row r="958" spans="1:7" ht="20.100000000000001" customHeight="1" x14ac:dyDescent="0.25">
      <c r="A958" s="159"/>
      <c r="B958" s="279" t="s">
        <v>2704</v>
      </c>
      <c r="C958" s="537">
        <v>1284841000</v>
      </c>
      <c r="D958" s="834">
        <v>1283341000</v>
      </c>
      <c r="E958" s="117">
        <f t="shared" si="74"/>
        <v>99.883254036880828</v>
      </c>
      <c r="F958" s="117">
        <v>100</v>
      </c>
      <c r="G958" s="111"/>
    </row>
    <row r="959" spans="1:7" ht="20.100000000000001" customHeight="1" x14ac:dyDescent="0.25">
      <c r="A959" s="159"/>
      <c r="B959" s="279" t="s">
        <v>96</v>
      </c>
      <c r="C959" s="537">
        <v>215000000</v>
      </c>
      <c r="D959" s="835">
        <f>C959</f>
        <v>215000000</v>
      </c>
      <c r="E959" s="117">
        <f t="shared" si="74"/>
        <v>100</v>
      </c>
      <c r="F959" s="117">
        <f>+E959</f>
        <v>100</v>
      </c>
      <c r="G959" s="111"/>
    </row>
    <row r="960" spans="1:7" ht="20.100000000000001" customHeight="1" x14ac:dyDescent="0.25">
      <c r="A960" s="159"/>
      <c r="B960" s="279" t="s">
        <v>2719</v>
      </c>
      <c r="C960" s="537">
        <v>180000000</v>
      </c>
      <c r="D960" s="835">
        <v>180000000</v>
      </c>
      <c r="E960" s="117">
        <f t="shared" si="74"/>
        <v>100</v>
      </c>
      <c r="F960" s="117">
        <v>100</v>
      </c>
      <c r="G960" s="111"/>
    </row>
    <row r="961" spans="1:30" ht="20.100000000000001" customHeight="1" x14ac:dyDescent="0.25">
      <c r="A961" s="159"/>
      <c r="B961" s="279" t="s">
        <v>2720</v>
      </c>
      <c r="C961" s="537">
        <v>175000005</v>
      </c>
      <c r="D961" s="834">
        <f>C961</f>
        <v>175000005</v>
      </c>
      <c r="E961" s="117">
        <f t="shared" si="74"/>
        <v>100</v>
      </c>
      <c r="F961" s="117">
        <f>+E961</f>
        <v>100</v>
      </c>
      <c r="G961" s="111"/>
    </row>
    <row r="962" spans="1:30" ht="20.100000000000001" customHeight="1" x14ac:dyDescent="0.25">
      <c r="A962" s="159"/>
      <c r="B962" s="279" t="s">
        <v>2721</v>
      </c>
      <c r="C962" s="537">
        <v>1525000000</v>
      </c>
      <c r="D962" s="834">
        <v>1525000000</v>
      </c>
      <c r="E962" s="117">
        <f t="shared" si="74"/>
        <v>100</v>
      </c>
      <c r="F962" s="117">
        <v>100</v>
      </c>
      <c r="G962" s="111"/>
    </row>
    <row r="963" spans="1:30" ht="20.100000000000001" customHeight="1" x14ac:dyDescent="0.25">
      <c r="A963" s="159"/>
      <c r="B963" s="279" t="s">
        <v>2722</v>
      </c>
      <c r="C963" s="537">
        <v>1068000000</v>
      </c>
      <c r="D963" s="834">
        <v>1068000000</v>
      </c>
      <c r="E963" s="117">
        <f t="shared" si="74"/>
        <v>100</v>
      </c>
      <c r="F963" s="117">
        <v>97.870786516853926</v>
      </c>
      <c r="G963" s="111"/>
    </row>
    <row r="964" spans="1:30" ht="20.100000000000001" customHeight="1" x14ac:dyDescent="0.25">
      <c r="A964" s="159"/>
      <c r="B964" s="280" t="s">
        <v>92</v>
      </c>
      <c r="C964" s="125">
        <v>889900920</v>
      </c>
      <c r="D964" s="836">
        <f>D965</f>
        <v>889900920</v>
      </c>
      <c r="E964" s="114">
        <f t="shared" si="74"/>
        <v>100</v>
      </c>
      <c r="F964" s="114">
        <f>SUM(F965)/1</f>
        <v>100</v>
      </c>
      <c r="G964" s="111"/>
    </row>
    <row r="965" spans="1:30" ht="20.100000000000001" customHeight="1" x14ac:dyDescent="0.25">
      <c r="A965" s="159"/>
      <c r="B965" s="279" t="s">
        <v>2723</v>
      </c>
      <c r="C965" s="537">
        <v>889900920</v>
      </c>
      <c r="D965" s="834">
        <v>889900920</v>
      </c>
      <c r="E965" s="117">
        <f t="shared" si="74"/>
        <v>100</v>
      </c>
      <c r="F965" s="117">
        <f>+E965</f>
        <v>100</v>
      </c>
      <c r="G965" s="111"/>
    </row>
    <row r="966" spans="1:30" ht="20.100000000000001" customHeight="1" x14ac:dyDescent="0.25">
      <c r="A966" s="159"/>
      <c r="B966" s="295" t="s">
        <v>1371</v>
      </c>
      <c r="C966" s="125">
        <v>429171510</v>
      </c>
      <c r="D966" s="836">
        <f>SUM(D967:D968)</f>
        <v>429171510</v>
      </c>
      <c r="E966" s="114">
        <f t="shared" si="74"/>
        <v>100</v>
      </c>
      <c r="F966" s="114">
        <v>100</v>
      </c>
      <c r="G966" s="111"/>
    </row>
    <row r="967" spans="1:30" ht="20.100000000000001" customHeight="1" x14ac:dyDescent="0.25">
      <c r="A967" s="159"/>
      <c r="B967" s="279" t="s">
        <v>2724</v>
      </c>
      <c r="C967" s="537">
        <v>271671510</v>
      </c>
      <c r="D967" s="834">
        <v>271671510</v>
      </c>
      <c r="E967" s="117">
        <f t="shared" si="74"/>
        <v>100</v>
      </c>
      <c r="F967" s="117">
        <v>100</v>
      </c>
      <c r="G967" s="111"/>
    </row>
    <row r="968" spans="1:30" ht="20.100000000000001" customHeight="1" x14ac:dyDescent="0.25">
      <c r="A968" s="159"/>
      <c r="B968" s="279" t="s">
        <v>2725</v>
      </c>
      <c r="C968" s="537">
        <v>157500000</v>
      </c>
      <c r="D968" s="834">
        <v>157500000</v>
      </c>
      <c r="E968" s="117">
        <f t="shared" si="74"/>
        <v>100</v>
      </c>
      <c r="F968" s="117">
        <v>100</v>
      </c>
      <c r="G968" s="111"/>
    </row>
    <row r="969" spans="1:30" ht="19.5" customHeight="1" x14ac:dyDescent="0.25">
      <c r="A969" s="159"/>
      <c r="B969" s="279"/>
      <c r="C969" s="537"/>
      <c r="D969" s="834"/>
      <c r="E969" s="117"/>
      <c r="F969" s="117"/>
      <c r="G969" s="111"/>
    </row>
    <row r="970" spans="1:30" s="115" customFormat="1" ht="20.100000000000001" customHeight="1" x14ac:dyDescent="0.25">
      <c r="A970" s="159"/>
      <c r="B970" s="280" t="s">
        <v>2726</v>
      </c>
      <c r="C970" s="125">
        <f>C971</f>
        <v>2537164885</v>
      </c>
      <c r="D970" s="832">
        <f>SUM(D971:D972)</f>
        <v>2239650000</v>
      </c>
      <c r="E970" s="114">
        <f>+E971</f>
        <v>88.273726837426253</v>
      </c>
      <c r="F970" s="114">
        <v>100</v>
      </c>
      <c r="G970" s="121"/>
    </row>
    <row r="971" spans="1:30" s="115" customFormat="1" ht="20.100000000000001" customHeight="1" x14ac:dyDescent="0.25">
      <c r="A971" s="159"/>
      <c r="B971" s="280" t="s">
        <v>2728</v>
      </c>
      <c r="C971" s="125">
        <v>2537164885</v>
      </c>
      <c r="D971" s="834">
        <v>2239650000</v>
      </c>
      <c r="E971" s="114">
        <f>+D971/C971*100</f>
        <v>88.273726837426253</v>
      </c>
      <c r="F971" s="114">
        <v>100</v>
      </c>
      <c r="G971" s="121"/>
    </row>
    <row r="972" spans="1:30" ht="18" customHeight="1" x14ac:dyDescent="0.25">
      <c r="A972" s="159"/>
      <c r="B972" s="32"/>
      <c r="C972" s="582"/>
      <c r="D972" s="778"/>
      <c r="E972" s="117"/>
      <c r="F972" s="117"/>
      <c r="G972" s="111"/>
    </row>
    <row r="973" spans="1:30" s="105" customFormat="1" ht="20.100000000000001" customHeight="1" x14ac:dyDescent="0.25">
      <c r="A973" s="159">
        <v>17</v>
      </c>
      <c r="B973" s="280" t="s">
        <v>2790</v>
      </c>
      <c r="C973" s="632">
        <f>+C974</f>
        <v>28469986500</v>
      </c>
      <c r="D973" s="779">
        <f>+D974+D1007</f>
        <v>23959270027</v>
      </c>
      <c r="E973" s="114">
        <f>+D973/C973*100</f>
        <v>84.156239508578622</v>
      </c>
      <c r="F973" s="114">
        <f>(F974+F1007)/2</f>
        <v>91</v>
      </c>
      <c r="G973" s="121"/>
      <c r="H973" s="324"/>
      <c r="I973" s="115"/>
      <c r="J973" s="115"/>
      <c r="K973" s="115"/>
      <c r="L973" s="115"/>
      <c r="M973" s="115"/>
      <c r="N973" s="115"/>
      <c r="O973" s="115"/>
      <c r="P973" s="115"/>
      <c r="Q973" s="115"/>
      <c r="R973" s="115"/>
      <c r="S973" s="115"/>
      <c r="T973" s="115"/>
      <c r="U973" s="115"/>
      <c r="V973" s="115"/>
      <c r="W973" s="115"/>
      <c r="X973" s="115"/>
      <c r="Y973" s="115"/>
      <c r="Z973" s="115"/>
      <c r="AA973" s="115"/>
      <c r="AB973" s="115"/>
      <c r="AC973" s="115"/>
      <c r="AD973" s="115"/>
    </row>
    <row r="974" spans="1:30" s="104" customFormat="1" ht="20.100000000000001" customHeight="1" x14ac:dyDescent="0.25">
      <c r="A974" s="159"/>
      <c r="B974" s="280" t="s">
        <v>678</v>
      </c>
      <c r="C974" s="633">
        <v>28469986500</v>
      </c>
      <c r="D974" s="837">
        <f>D975+D979+D992+D1000+D1004</f>
        <v>23163057977</v>
      </c>
      <c r="E974" s="333">
        <f>D974/C974*100</f>
        <v>81.359567827684074</v>
      </c>
      <c r="F974" s="333">
        <v>82</v>
      </c>
      <c r="G974" s="633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  <c r="AA974" s="80"/>
      <c r="AB974" s="80"/>
      <c r="AC974" s="80"/>
      <c r="AD974" s="80"/>
    </row>
    <row r="975" spans="1:30" s="105" customFormat="1" ht="20.100000000000001" customHeight="1" x14ac:dyDescent="0.25">
      <c r="A975" s="159"/>
      <c r="B975" s="280" t="s">
        <v>797</v>
      </c>
      <c r="C975" s="633">
        <v>1422000000</v>
      </c>
      <c r="D975" s="837">
        <f>D976+D977+D978</f>
        <v>1234833517</v>
      </c>
      <c r="E975" s="379">
        <f t="shared" ref="E975:E1005" si="76">D975/C975*100</f>
        <v>86.837800070323496</v>
      </c>
      <c r="F975" s="333">
        <v>87</v>
      </c>
      <c r="G975" s="633"/>
      <c r="H975" s="115"/>
      <c r="I975" s="115"/>
      <c r="J975" s="115"/>
      <c r="K975" s="115"/>
      <c r="L975" s="115"/>
      <c r="M975" s="115"/>
      <c r="N975" s="115"/>
      <c r="O975" s="115"/>
      <c r="P975" s="115"/>
      <c r="Q975" s="115"/>
      <c r="R975" s="115"/>
      <c r="S975" s="115"/>
      <c r="T975" s="115"/>
      <c r="U975" s="115"/>
      <c r="V975" s="115"/>
      <c r="W975" s="115"/>
      <c r="X975" s="115"/>
      <c r="Y975" s="115"/>
      <c r="Z975" s="115"/>
      <c r="AA975" s="115"/>
      <c r="AB975" s="115"/>
      <c r="AC975" s="115"/>
      <c r="AD975" s="115"/>
    </row>
    <row r="976" spans="1:30" s="104" customFormat="1" ht="20.100000000000001" customHeight="1" x14ac:dyDescent="0.25">
      <c r="A976" s="159"/>
      <c r="B976" s="294" t="s">
        <v>2791</v>
      </c>
      <c r="C976" s="635">
        <v>630000000</v>
      </c>
      <c r="D976" s="791">
        <v>629756000</v>
      </c>
      <c r="E976" s="379">
        <f t="shared" si="76"/>
        <v>99.961269841269839</v>
      </c>
      <c r="F976" s="379">
        <v>100</v>
      </c>
      <c r="G976" s="635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  <c r="AA976" s="80"/>
      <c r="AB976" s="80"/>
      <c r="AC976" s="80"/>
      <c r="AD976" s="80"/>
    </row>
    <row r="977" spans="1:30" s="104" customFormat="1" ht="20.100000000000001" customHeight="1" x14ac:dyDescent="0.25">
      <c r="A977" s="159"/>
      <c r="B977" s="294" t="s">
        <v>2792</v>
      </c>
      <c r="C977" s="635">
        <v>672000000</v>
      </c>
      <c r="D977" s="791">
        <v>486000000</v>
      </c>
      <c r="E977" s="379">
        <f t="shared" si="76"/>
        <v>72.321428571428569</v>
      </c>
      <c r="F977" s="379">
        <v>73</v>
      </c>
      <c r="G977" s="635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  <c r="AA977" s="80"/>
      <c r="AB977" s="80"/>
      <c r="AC977" s="80"/>
      <c r="AD977" s="80"/>
    </row>
    <row r="978" spans="1:30" s="104" customFormat="1" ht="30.75" customHeight="1" x14ac:dyDescent="0.25">
      <c r="A978" s="159"/>
      <c r="B978" s="294" t="s">
        <v>2074</v>
      </c>
      <c r="C978" s="635">
        <v>120000000</v>
      </c>
      <c r="D978" s="791">
        <v>119077517</v>
      </c>
      <c r="E978" s="379">
        <f t="shared" si="76"/>
        <v>99.231264166666662</v>
      </c>
      <c r="F978" s="379">
        <v>100</v>
      </c>
      <c r="G978" s="635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  <c r="AA978" s="80"/>
      <c r="AB978" s="80"/>
      <c r="AC978" s="80"/>
      <c r="AD978" s="80"/>
    </row>
    <row r="979" spans="1:30" s="104" customFormat="1" ht="20.100000000000001" customHeight="1" x14ac:dyDescent="0.25">
      <c r="A979" s="159"/>
      <c r="B979" s="280" t="s">
        <v>680</v>
      </c>
      <c r="C979" s="633">
        <v>17214800000</v>
      </c>
      <c r="D979" s="838">
        <f>SUM(D980:D991)</f>
        <v>12998479660</v>
      </c>
      <c r="E979" s="333">
        <f t="shared" si="76"/>
        <v>75.50758452029649</v>
      </c>
      <c r="F979" s="333">
        <v>76</v>
      </c>
      <c r="G979" s="633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  <c r="AA979" s="80"/>
      <c r="AB979" s="80"/>
      <c r="AC979" s="80"/>
      <c r="AD979" s="80"/>
    </row>
    <row r="980" spans="1:30" s="104" customFormat="1" ht="20.100000000000001" customHeight="1" x14ac:dyDescent="0.25">
      <c r="A980" s="159"/>
      <c r="B980" s="294" t="s">
        <v>2714</v>
      </c>
      <c r="C980" s="635">
        <v>1684600000</v>
      </c>
      <c r="D980" s="791">
        <v>1385955660</v>
      </c>
      <c r="E980" s="379">
        <f t="shared" si="76"/>
        <v>82.272091891250142</v>
      </c>
      <c r="F980" s="379">
        <v>83</v>
      </c>
      <c r="G980" s="635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  <c r="AA980" s="80"/>
      <c r="AB980" s="80"/>
      <c r="AC980" s="80"/>
      <c r="AD980" s="80"/>
    </row>
    <row r="981" spans="1:30" s="104" customFormat="1" ht="20.100000000000001" customHeight="1" x14ac:dyDescent="0.25">
      <c r="A981" s="159"/>
      <c r="B981" s="294" t="s">
        <v>2793</v>
      </c>
      <c r="C981" s="635">
        <v>720000000</v>
      </c>
      <c r="D981" s="791">
        <v>0</v>
      </c>
      <c r="E981" s="379">
        <f t="shared" si="76"/>
        <v>0</v>
      </c>
      <c r="F981" s="379">
        <v>0</v>
      </c>
      <c r="G981" s="635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  <c r="AA981" s="80"/>
      <c r="AB981" s="80"/>
      <c r="AC981" s="80"/>
      <c r="AD981" s="80"/>
    </row>
    <row r="982" spans="1:30" s="104" customFormat="1" ht="20.100000000000001" customHeight="1" x14ac:dyDescent="0.25">
      <c r="A982" s="159"/>
      <c r="B982" s="294" t="s">
        <v>2794</v>
      </c>
      <c r="C982" s="635">
        <v>1920000000</v>
      </c>
      <c r="D982" s="791">
        <v>1260000000</v>
      </c>
      <c r="E982" s="379">
        <f t="shared" si="76"/>
        <v>65.625</v>
      </c>
      <c r="F982" s="379">
        <v>66</v>
      </c>
      <c r="G982" s="635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  <c r="AA982" s="80"/>
      <c r="AB982" s="80"/>
      <c r="AC982" s="80"/>
      <c r="AD982" s="80"/>
    </row>
    <row r="983" spans="1:30" s="104" customFormat="1" ht="20.100000000000001" customHeight="1" x14ac:dyDescent="0.25">
      <c r="A983" s="159"/>
      <c r="B983" s="294" t="s">
        <v>2795</v>
      </c>
      <c r="C983" s="635">
        <v>960000000</v>
      </c>
      <c r="D983" s="791">
        <v>764000000</v>
      </c>
      <c r="E983" s="379">
        <f t="shared" si="76"/>
        <v>79.583333333333329</v>
      </c>
      <c r="F983" s="379">
        <v>80</v>
      </c>
      <c r="G983" s="635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  <c r="AA983" s="80"/>
      <c r="AB983" s="80"/>
      <c r="AC983" s="80"/>
      <c r="AD983" s="80"/>
    </row>
    <row r="984" spans="1:30" s="104" customFormat="1" ht="20.100000000000001" customHeight="1" x14ac:dyDescent="0.25">
      <c r="A984" s="159"/>
      <c r="B984" s="294" t="s">
        <v>2796</v>
      </c>
      <c r="C984" s="635">
        <v>1590000000</v>
      </c>
      <c r="D984" s="791">
        <v>0</v>
      </c>
      <c r="E984" s="379">
        <f t="shared" si="76"/>
        <v>0</v>
      </c>
      <c r="F984" s="379">
        <v>0</v>
      </c>
      <c r="G984" s="635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  <c r="AA984" s="80"/>
      <c r="AB984" s="80"/>
      <c r="AC984" s="80"/>
      <c r="AD984" s="80"/>
    </row>
    <row r="985" spans="1:30" s="104" customFormat="1" ht="29.25" customHeight="1" x14ac:dyDescent="0.25">
      <c r="A985" s="159"/>
      <c r="B985" s="294" t="s">
        <v>2797</v>
      </c>
      <c r="C985" s="635">
        <v>312000000</v>
      </c>
      <c r="D985" s="791">
        <v>48000000</v>
      </c>
      <c r="E985" s="379">
        <f t="shared" si="76"/>
        <v>15.384615384615385</v>
      </c>
      <c r="F985" s="379">
        <v>16</v>
      </c>
      <c r="G985" s="635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  <c r="AA985" s="80"/>
      <c r="AB985" s="80"/>
      <c r="AC985" s="80"/>
      <c r="AD985" s="80"/>
    </row>
    <row r="986" spans="1:30" s="104" customFormat="1" ht="30.75" customHeight="1" x14ac:dyDescent="0.25">
      <c r="A986" s="159"/>
      <c r="B986" s="294" t="s">
        <v>2798</v>
      </c>
      <c r="C986" s="635">
        <v>5302800000</v>
      </c>
      <c r="D986" s="791">
        <v>4819307000</v>
      </c>
      <c r="E986" s="379">
        <f t="shared" si="76"/>
        <v>90.882307460209702</v>
      </c>
      <c r="F986" s="379">
        <v>92</v>
      </c>
      <c r="G986" s="635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  <c r="AA986" s="80"/>
      <c r="AB986" s="80"/>
      <c r="AC986" s="80"/>
      <c r="AD986" s="80"/>
    </row>
    <row r="987" spans="1:30" s="104" customFormat="1" ht="20.100000000000001" customHeight="1" x14ac:dyDescent="0.25">
      <c r="A987" s="159"/>
      <c r="B987" s="294" t="s">
        <v>2082</v>
      </c>
      <c r="C987" s="635">
        <v>2322250000</v>
      </c>
      <c r="D987" s="791">
        <v>2322250000</v>
      </c>
      <c r="E987" s="379">
        <f t="shared" si="76"/>
        <v>100</v>
      </c>
      <c r="F987" s="379">
        <v>100</v>
      </c>
      <c r="G987" s="635"/>
      <c r="H987" s="80"/>
      <c r="I987" s="80"/>
      <c r="J987" s="80"/>
      <c r="K987" s="80"/>
      <c r="L987" s="80"/>
      <c r="M987" s="80"/>
      <c r="N987" s="80"/>
      <c r="O987" s="80"/>
      <c r="P987" s="80"/>
      <c r="Q987" s="80"/>
      <c r="R987" s="80"/>
      <c r="S987" s="80"/>
      <c r="T987" s="80"/>
      <c r="U987" s="80"/>
      <c r="V987" s="80"/>
      <c r="W987" s="80"/>
      <c r="X987" s="80"/>
      <c r="Y987" s="80"/>
      <c r="Z987" s="80"/>
      <c r="AA987" s="80"/>
      <c r="AB987" s="80"/>
      <c r="AC987" s="80"/>
      <c r="AD987" s="80"/>
    </row>
    <row r="988" spans="1:30" s="104" customFormat="1" ht="29.25" customHeight="1" x14ac:dyDescent="0.25">
      <c r="A988" s="159"/>
      <c r="B988" s="294" t="s">
        <v>2799</v>
      </c>
      <c r="C988" s="635">
        <v>431150000</v>
      </c>
      <c r="D988" s="791">
        <v>430192000</v>
      </c>
      <c r="E988" s="379">
        <f t="shared" si="76"/>
        <v>99.777803548648961</v>
      </c>
      <c r="F988" s="379">
        <v>100</v>
      </c>
      <c r="G988" s="635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  <c r="AA988" s="80"/>
      <c r="AB988" s="80"/>
      <c r="AC988" s="80"/>
      <c r="AD988" s="80"/>
    </row>
    <row r="989" spans="1:30" s="104" customFormat="1" ht="29.25" customHeight="1" x14ac:dyDescent="0.25">
      <c r="A989" s="159"/>
      <c r="B989" s="294" t="s">
        <v>2800</v>
      </c>
      <c r="C989" s="635">
        <v>1200000000</v>
      </c>
      <c r="D989" s="791">
        <v>1198164000</v>
      </c>
      <c r="E989" s="379">
        <f t="shared" si="76"/>
        <v>99.846999999999994</v>
      </c>
      <c r="F989" s="379">
        <v>100</v>
      </c>
      <c r="G989" s="635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  <c r="AA989" s="80"/>
      <c r="AB989" s="80"/>
      <c r="AC989" s="80"/>
      <c r="AD989" s="80"/>
    </row>
    <row r="990" spans="1:30" s="104" customFormat="1" ht="30.75" customHeight="1" x14ac:dyDescent="0.25">
      <c r="A990" s="159"/>
      <c r="B990" s="294" t="s">
        <v>2801</v>
      </c>
      <c r="C990" s="635">
        <v>288000000</v>
      </c>
      <c r="D990" s="791">
        <v>287232000</v>
      </c>
      <c r="E990" s="379">
        <f t="shared" si="76"/>
        <v>99.733333333333334</v>
      </c>
      <c r="F990" s="379">
        <v>100</v>
      </c>
      <c r="G990" s="635"/>
      <c r="H990" s="80"/>
      <c r="I990" s="80"/>
      <c r="J990" s="80"/>
      <c r="K990" s="80"/>
      <c r="L990" s="80"/>
      <c r="M990" s="80"/>
      <c r="N990" s="80"/>
      <c r="O990" s="80"/>
      <c r="P990" s="80"/>
      <c r="Q990" s="80"/>
      <c r="R990" s="80"/>
      <c r="S990" s="80"/>
      <c r="T990" s="80"/>
      <c r="U990" s="80"/>
      <c r="V990" s="80"/>
      <c r="W990" s="80"/>
      <c r="X990" s="80"/>
      <c r="Y990" s="80"/>
      <c r="Z990" s="80"/>
      <c r="AA990" s="80"/>
      <c r="AB990" s="80"/>
      <c r="AC990" s="80"/>
      <c r="AD990" s="80"/>
    </row>
    <row r="991" spans="1:30" s="104" customFormat="1" ht="30.75" customHeight="1" x14ac:dyDescent="0.25">
      <c r="A991" s="159"/>
      <c r="B991" s="294" t="s">
        <v>2802</v>
      </c>
      <c r="C991" s="635">
        <v>484000000</v>
      </c>
      <c r="D991" s="791">
        <v>483379000</v>
      </c>
      <c r="E991" s="379">
        <f t="shared" si="76"/>
        <v>99.87169421487603</v>
      </c>
      <c r="F991" s="379">
        <v>100</v>
      </c>
      <c r="G991" s="635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  <c r="AA991" s="80"/>
      <c r="AB991" s="80"/>
      <c r="AC991" s="80"/>
      <c r="AD991" s="80"/>
    </row>
    <row r="992" spans="1:30" s="105" customFormat="1" ht="20.100000000000001" customHeight="1" x14ac:dyDescent="0.25">
      <c r="A992" s="159"/>
      <c r="B992" s="295" t="s">
        <v>693</v>
      </c>
      <c r="C992" s="633">
        <v>4365197500</v>
      </c>
      <c r="D992" s="837">
        <f>SUM(D993:D999)</f>
        <v>3464275800</v>
      </c>
      <c r="E992" s="333">
        <f t="shared" si="76"/>
        <v>79.36126143204288</v>
      </c>
      <c r="F992" s="333">
        <v>80</v>
      </c>
      <c r="G992" s="633"/>
      <c r="H992" s="115"/>
      <c r="I992" s="115"/>
      <c r="J992" s="115"/>
      <c r="K992" s="115"/>
      <c r="L992" s="115"/>
      <c r="M992" s="115"/>
      <c r="N992" s="115"/>
      <c r="O992" s="115"/>
      <c r="P992" s="115"/>
      <c r="Q992" s="115"/>
      <c r="R992" s="115"/>
      <c r="S992" s="115"/>
      <c r="T992" s="115"/>
      <c r="U992" s="115"/>
      <c r="V992" s="115"/>
      <c r="W992" s="115"/>
      <c r="X992" s="115"/>
      <c r="Y992" s="115"/>
      <c r="Z992" s="115"/>
      <c r="AA992" s="115"/>
      <c r="AB992" s="115"/>
      <c r="AC992" s="115"/>
      <c r="AD992" s="115"/>
    </row>
    <row r="993" spans="1:30" s="104" customFormat="1" ht="29.25" customHeight="1" x14ac:dyDescent="0.25">
      <c r="A993" s="159"/>
      <c r="B993" s="294" t="s">
        <v>2803</v>
      </c>
      <c r="C993" s="635">
        <v>680600000</v>
      </c>
      <c r="D993" s="791">
        <v>539116800</v>
      </c>
      <c r="E993" s="379">
        <f t="shared" si="76"/>
        <v>79.211989421099034</v>
      </c>
      <c r="F993" s="379">
        <v>80</v>
      </c>
      <c r="G993" s="635"/>
      <c r="H993" s="80"/>
      <c r="I993" s="80"/>
      <c r="J993" s="80"/>
      <c r="K993" s="80"/>
      <c r="L993" s="80"/>
      <c r="M993" s="80"/>
      <c r="N993" s="80"/>
      <c r="O993" s="80"/>
      <c r="P993" s="80"/>
      <c r="Q993" s="80"/>
      <c r="R993" s="80"/>
      <c r="S993" s="80"/>
      <c r="T993" s="80"/>
      <c r="U993" s="80"/>
      <c r="V993" s="80"/>
      <c r="W993" s="80"/>
      <c r="X993" s="80"/>
      <c r="Y993" s="80"/>
      <c r="Z993" s="80"/>
      <c r="AA993" s="80"/>
      <c r="AB993" s="80"/>
      <c r="AC993" s="80"/>
      <c r="AD993" s="80"/>
    </row>
    <row r="994" spans="1:30" s="104" customFormat="1" ht="20.100000000000001" customHeight="1" x14ac:dyDescent="0.25">
      <c r="A994" s="159"/>
      <c r="B994" s="294" t="s">
        <v>2804</v>
      </c>
      <c r="C994" s="635">
        <v>576000000</v>
      </c>
      <c r="D994" s="791">
        <v>466000000</v>
      </c>
      <c r="E994" s="379">
        <f t="shared" si="76"/>
        <v>80.902777777777786</v>
      </c>
      <c r="F994" s="379">
        <v>81</v>
      </c>
      <c r="G994" s="635"/>
      <c r="H994" s="80"/>
      <c r="I994" s="80"/>
      <c r="J994" s="80"/>
      <c r="K994" s="80"/>
      <c r="L994" s="80"/>
      <c r="M994" s="80"/>
      <c r="N994" s="80"/>
      <c r="O994" s="80"/>
      <c r="P994" s="80"/>
      <c r="Q994" s="80"/>
      <c r="R994" s="80"/>
      <c r="S994" s="80"/>
      <c r="T994" s="80"/>
      <c r="U994" s="80"/>
      <c r="V994" s="80"/>
      <c r="W994" s="80"/>
      <c r="X994" s="80"/>
      <c r="Y994" s="80"/>
      <c r="Z994" s="80"/>
      <c r="AA994" s="80"/>
      <c r="AB994" s="80"/>
      <c r="AC994" s="80"/>
      <c r="AD994" s="80"/>
    </row>
    <row r="995" spans="1:30" s="104" customFormat="1" ht="20.100000000000001" customHeight="1" x14ac:dyDescent="0.25">
      <c r="A995" s="159"/>
      <c r="B995" s="294" t="s">
        <v>2805</v>
      </c>
      <c r="C995" s="635">
        <v>288000000</v>
      </c>
      <c r="D995" s="791">
        <v>220000000</v>
      </c>
      <c r="E995" s="379">
        <f t="shared" si="76"/>
        <v>76.388888888888886</v>
      </c>
      <c r="F995" s="379">
        <v>77</v>
      </c>
      <c r="G995" s="635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  <c r="AA995" s="80"/>
      <c r="AB995" s="80"/>
      <c r="AC995" s="80"/>
      <c r="AD995" s="80"/>
    </row>
    <row r="996" spans="1:30" s="104" customFormat="1" ht="20.100000000000001" customHeight="1" x14ac:dyDescent="0.25">
      <c r="A996" s="159"/>
      <c r="B996" s="294" t="s">
        <v>2806</v>
      </c>
      <c r="C996" s="635">
        <v>1846789000</v>
      </c>
      <c r="D996" s="791">
        <v>1846789000</v>
      </c>
      <c r="E996" s="379">
        <f t="shared" si="76"/>
        <v>100</v>
      </c>
      <c r="F996" s="379">
        <v>100</v>
      </c>
      <c r="G996" s="635"/>
      <c r="H996" s="80"/>
      <c r="I996" s="80"/>
      <c r="J996" s="80"/>
      <c r="K996" s="80"/>
      <c r="L996" s="80"/>
      <c r="M996" s="80"/>
      <c r="N996" s="80"/>
      <c r="O996" s="80"/>
      <c r="P996" s="80"/>
      <c r="Q996" s="80"/>
      <c r="R996" s="80"/>
      <c r="S996" s="80"/>
      <c r="T996" s="80"/>
      <c r="U996" s="80"/>
      <c r="V996" s="80"/>
      <c r="W996" s="80"/>
      <c r="X996" s="80"/>
      <c r="Y996" s="80"/>
      <c r="Z996" s="80"/>
      <c r="AA996" s="80"/>
      <c r="AB996" s="80"/>
      <c r="AC996" s="80"/>
      <c r="AD996" s="80"/>
    </row>
    <row r="997" spans="1:30" s="104" customFormat="1" ht="20.100000000000001" customHeight="1" x14ac:dyDescent="0.25">
      <c r="A997" s="159"/>
      <c r="B997" s="294" t="s">
        <v>2807</v>
      </c>
      <c r="C997" s="635">
        <v>361200000</v>
      </c>
      <c r="D997" s="791">
        <v>0</v>
      </c>
      <c r="E997" s="379">
        <f t="shared" si="76"/>
        <v>0</v>
      </c>
      <c r="F997" s="379">
        <v>0</v>
      </c>
      <c r="G997" s="635"/>
      <c r="H997" s="80"/>
      <c r="I997" s="80"/>
      <c r="J997" s="80"/>
      <c r="K997" s="80"/>
      <c r="L997" s="80"/>
      <c r="M997" s="80"/>
      <c r="N997" s="80"/>
      <c r="O997" s="80"/>
      <c r="P997" s="80"/>
      <c r="Q997" s="80"/>
      <c r="R997" s="80"/>
      <c r="S997" s="80"/>
      <c r="T997" s="80"/>
      <c r="U997" s="80"/>
      <c r="V997" s="80"/>
      <c r="W997" s="80"/>
      <c r="X997" s="80"/>
      <c r="Y997" s="80"/>
      <c r="Z997" s="80"/>
      <c r="AA997" s="80"/>
      <c r="AB997" s="80"/>
      <c r="AC997" s="80"/>
      <c r="AD997" s="80"/>
    </row>
    <row r="998" spans="1:30" s="104" customFormat="1" ht="20.100000000000001" customHeight="1" x14ac:dyDescent="0.25">
      <c r="A998" s="159"/>
      <c r="B998" s="294" t="s">
        <v>2808</v>
      </c>
      <c r="C998" s="635">
        <v>220000000</v>
      </c>
      <c r="D998" s="792">
        <v>0</v>
      </c>
      <c r="E998" s="379">
        <f t="shared" si="76"/>
        <v>0</v>
      </c>
      <c r="F998" s="333">
        <v>0</v>
      </c>
      <c r="G998" s="635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  <c r="AA998" s="80"/>
      <c r="AB998" s="80"/>
      <c r="AC998" s="80"/>
      <c r="AD998" s="80"/>
    </row>
    <row r="999" spans="1:30" s="104" customFormat="1" ht="20.100000000000001" customHeight="1" x14ac:dyDescent="0.25">
      <c r="A999" s="159"/>
      <c r="B999" s="294" t="s">
        <v>2809</v>
      </c>
      <c r="C999" s="635">
        <v>392608500</v>
      </c>
      <c r="D999" s="791">
        <v>392370000</v>
      </c>
      <c r="E999" s="379">
        <f t="shared" si="76"/>
        <v>99.939252461421489</v>
      </c>
      <c r="F999" s="379">
        <v>100</v>
      </c>
      <c r="G999" s="635"/>
      <c r="H999" s="80"/>
      <c r="I999" s="80"/>
      <c r="J999" s="80"/>
      <c r="K999" s="80"/>
      <c r="L999" s="80"/>
      <c r="M999" s="80"/>
      <c r="N999" s="80"/>
      <c r="O999" s="80"/>
      <c r="P999" s="80"/>
      <c r="Q999" s="80"/>
      <c r="R999" s="80"/>
      <c r="S999" s="80"/>
      <c r="T999" s="80"/>
      <c r="U999" s="80"/>
      <c r="V999" s="80"/>
      <c r="W999" s="80"/>
      <c r="X999" s="80"/>
      <c r="Y999" s="80"/>
      <c r="Z999" s="80"/>
      <c r="AA999" s="80"/>
      <c r="AB999" s="80"/>
      <c r="AC999" s="80"/>
      <c r="AD999" s="80"/>
    </row>
    <row r="1000" spans="1:30" s="105" customFormat="1" ht="20.100000000000001" customHeight="1" x14ac:dyDescent="0.25">
      <c r="A1000" s="159"/>
      <c r="B1000" s="295" t="s">
        <v>92</v>
      </c>
      <c r="C1000" s="633">
        <v>2684000000</v>
      </c>
      <c r="D1000" s="838">
        <f>SUM(D1001:D1003)</f>
        <v>2681480000</v>
      </c>
      <c r="E1000" s="333">
        <f t="shared" si="76"/>
        <v>99.906110283159464</v>
      </c>
      <c r="F1000" s="333">
        <v>100</v>
      </c>
      <c r="G1000" s="633"/>
      <c r="H1000" s="115"/>
      <c r="I1000" s="115"/>
      <c r="J1000" s="115"/>
      <c r="K1000" s="115"/>
      <c r="L1000" s="115"/>
      <c r="M1000" s="115"/>
      <c r="N1000" s="115"/>
      <c r="O1000" s="115"/>
      <c r="P1000" s="115"/>
      <c r="Q1000" s="115"/>
      <c r="R1000" s="115"/>
      <c r="S1000" s="115"/>
      <c r="T1000" s="115"/>
      <c r="U1000" s="115"/>
      <c r="V1000" s="115"/>
      <c r="W1000" s="115"/>
      <c r="X1000" s="115"/>
      <c r="Y1000" s="115"/>
      <c r="Z1000" s="115"/>
      <c r="AA1000" s="115"/>
      <c r="AB1000" s="115"/>
      <c r="AC1000" s="115"/>
      <c r="AD1000" s="115"/>
    </row>
    <row r="1001" spans="1:30" s="104" customFormat="1" ht="20.100000000000001" customHeight="1" x14ac:dyDescent="0.25">
      <c r="A1001" s="159"/>
      <c r="B1001" s="294" t="s">
        <v>2810</v>
      </c>
      <c r="C1001" s="635">
        <v>1320000000</v>
      </c>
      <c r="D1001" s="791">
        <v>1320000000</v>
      </c>
      <c r="E1001" s="379">
        <f t="shared" si="76"/>
        <v>100</v>
      </c>
      <c r="F1001" s="379">
        <v>100</v>
      </c>
      <c r="G1001" s="635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  <c r="R1001" s="80"/>
      <c r="S1001" s="80"/>
      <c r="T1001" s="80"/>
      <c r="U1001" s="80"/>
      <c r="V1001" s="80"/>
      <c r="W1001" s="80"/>
      <c r="X1001" s="80"/>
      <c r="Y1001" s="80"/>
      <c r="Z1001" s="80"/>
      <c r="AA1001" s="80"/>
      <c r="AB1001" s="80"/>
      <c r="AC1001" s="80"/>
      <c r="AD1001" s="80"/>
    </row>
    <row r="1002" spans="1:30" s="104" customFormat="1" ht="20.100000000000001" customHeight="1" x14ac:dyDescent="0.25">
      <c r="A1002" s="159"/>
      <c r="B1002" s="294" t="s">
        <v>2811</v>
      </c>
      <c r="C1002" s="635">
        <v>364000000</v>
      </c>
      <c r="D1002" s="791">
        <v>364000000</v>
      </c>
      <c r="E1002" s="379">
        <f t="shared" si="76"/>
        <v>100</v>
      </c>
      <c r="F1002" s="379">
        <v>100</v>
      </c>
      <c r="G1002" s="635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  <c r="R1002" s="80"/>
      <c r="S1002" s="80"/>
      <c r="T1002" s="80"/>
      <c r="U1002" s="80"/>
      <c r="V1002" s="80"/>
      <c r="W1002" s="80"/>
      <c r="X1002" s="80"/>
      <c r="Y1002" s="80"/>
      <c r="Z1002" s="80"/>
      <c r="AA1002" s="80"/>
      <c r="AB1002" s="80"/>
      <c r="AC1002" s="80"/>
      <c r="AD1002" s="80"/>
    </row>
    <row r="1003" spans="1:30" s="104" customFormat="1" ht="20.100000000000001" customHeight="1" x14ac:dyDescent="0.25">
      <c r="A1003" s="159"/>
      <c r="B1003" s="294" t="s">
        <v>2812</v>
      </c>
      <c r="C1003" s="635">
        <v>1000000000</v>
      </c>
      <c r="D1003" s="791">
        <v>997480000</v>
      </c>
      <c r="E1003" s="379">
        <f t="shared" si="76"/>
        <v>99.748000000000005</v>
      </c>
      <c r="F1003" s="379">
        <v>100</v>
      </c>
      <c r="G1003" s="635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  <c r="R1003" s="80"/>
      <c r="S1003" s="80"/>
      <c r="T1003" s="80"/>
      <c r="U1003" s="80"/>
      <c r="V1003" s="80"/>
      <c r="W1003" s="80"/>
      <c r="X1003" s="80"/>
      <c r="Y1003" s="80"/>
      <c r="Z1003" s="80"/>
      <c r="AA1003" s="80"/>
      <c r="AB1003" s="80"/>
      <c r="AC1003" s="80"/>
      <c r="AD1003" s="80"/>
    </row>
    <row r="1004" spans="1:30" s="105" customFormat="1" ht="20.100000000000001" customHeight="1" x14ac:dyDescent="0.25">
      <c r="A1004" s="159"/>
      <c r="B1004" s="295" t="s">
        <v>1371</v>
      </c>
      <c r="C1004" s="633">
        <v>2783989000</v>
      </c>
      <c r="D1004" s="837">
        <f>D1005</f>
        <v>2783989000</v>
      </c>
      <c r="E1004" s="333">
        <f t="shared" si="76"/>
        <v>100</v>
      </c>
      <c r="F1004" s="333">
        <v>100</v>
      </c>
      <c r="G1004" s="633"/>
      <c r="H1004" s="115"/>
      <c r="I1004" s="115"/>
      <c r="J1004" s="115"/>
      <c r="K1004" s="115"/>
      <c r="L1004" s="115"/>
      <c r="M1004" s="115"/>
      <c r="N1004" s="115"/>
      <c r="O1004" s="115"/>
      <c r="P1004" s="115"/>
      <c r="Q1004" s="115"/>
      <c r="R1004" s="115"/>
      <c r="S1004" s="115"/>
      <c r="T1004" s="115"/>
      <c r="U1004" s="115"/>
      <c r="V1004" s="115"/>
      <c r="W1004" s="115"/>
      <c r="X1004" s="115"/>
      <c r="Y1004" s="115"/>
      <c r="Z1004" s="115"/>
      <c r="AA1004" s="115"/>
      <c r="AB1004" s="115"/>
      <c r="AC1004" s="115"/>
      <c r="AD1004" s="115"/>
    </row>
    <row r="1005" spans="1:30" s="104" customFormat="1" ht="29.25" customHeight="1" x14ac:dyDescent="0.25">
      <c r="A1005" s="159"/>
      <c r="B1005" s="294" t="s">
        <v>2813</v>
      </c>
      <c r="C1005" s="635">
        <v>2783989000</v>
      </c>
      <c r="D1005" s="791">
        <v>2783989000</v>
      </c>
      <c r="E1005" s="379">
        <f t="shared" si="76"/>
        <v>100</v>
      </c>
      <c r="F1005" s="379">
        <v>100</v>
      </c>
      <c r="G1005" s="635"/>
      <c r="H1005" s="80"/>
      <c r="I1005" s="80"/>
      <c r="J1005" s="80"/>
      <c r="K1005" s="80"/>
      <c r="L1005" s="80"/>
      <c r="M1005" s="80"/>
      <c r="N1005" s="80"/>
      <c r="O1005" s="80"/>
      <c r="P1005" s="80"/>
      <c r="Q1005" s="80"/>
      <c r="R1005" s="80"/>
      <c r="S1005" s="80"/>
      <c r="T1005" s="80"/>
      <c r="U1005" s="80"/>
      <c r="V1005" s="80"/>
      <c r="W1005" s="80"/>
      <c r="X1005" s="80"/>
      <c r="Y1005" s="80"/>
      <c r="Z1005" s="80"/>
      <c r="AA1005" s="80"/>
      <c r="AB1005" s="80"/>
      <c r="AC1005" s="80"/>
      <c r="AD1005" s="80"/>
    </row>
    <row r="1006" spans="1:30" s="104" customFormat="1" ht="9.9499999999999993" customHeight="1" x14ac:dyDescent="0.25">
      <c r="A1006" s="159"/>
      <c r="B1006" s="32"/>
      <c r="C1006" s="582"/>
      <c r="D1006" s="778"/>
      <c r="E1006" s="117"/>
      <c r="F1006" s="114"/>
      <c r="G1006" s="111"/>
      <c r="H1006" s="80"/>
      <c r="I1006" s="80"/>
      <c r="J1006" s="80"/>
      <c r="K1006" s="80"/>
      <c r="L1006" s="80"/>
      <c r="M1006" s="80"/>
      <c r="N1006" s="80"/>
      <c r="O1006" s="80"/>
      <c r="P1006" s="80"/>
      <c r="Q1006" s="80"/>
      <c r="R1006" s="80"/>
      <c r="S1006" s="80"/>
      <c r="T1006" s="80"/>
      <c r="U1006" s="80"/>
      <c r="V1006" s="80"/>
      <c r="W1006" s="80"/>
      <c r="X1006" s="80"/>
      <c r="Y1006" s="80"/>
      <c r="Z1006" s="80"/>
      <c r="AA1006" s="80"/>
      <c r="AB1006" s="80"/>
      <c r="AC1006" s="80"/>
      <c r="AD1006" s="80"/>
    </row>
    <row r="1007" spans="1:30" s="104" customFormat="1" ht="20.100000000000001" customHeight="1" x14ac:dyDescent="0.25">
      <c r="A1007" s="159"/>
      <c r="B1007" s="295" t="s">
        <v>731</v>
      </c>
      <c r="C1007" s="633">
        <v>798999550</v>
      </c>
      <c r="D1007" s="242">
        <f>D1008</f>
        <v>796212050</v>
      </c>
      <c r="E1007" s="333">
        <f>D1007/C1007*100</f>
        <v>99.651126211522893</v>
      </c>
      <c r="F1007" s="333">
        <v>100</v>
      </c>
      <c r="G1007" s="111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  <c r="R1007" s="80"/>
      <c r="S1007" s="80"/>
      <c r="T1007" s="80"/>
      <c r="U1007" s="80"/>
      <c r="V1007" s="80"/>
      <c r="W1007" s="80"/>
      <c r="X1007" s="80"/>
      <c r="Y1007" s="80"/>
      <c r="Z1007" s="80"/>
      <c r="AA1007" s="80"/>
      <c r="AB1007" s="80"/>
      <c r="AC1007" s="80"/>
      <c r="AD1007" s="80"/>
    </row>
    <row r="1008" spans="1:30" s="104" customFormat="1" ht="20.100000000000001" customHeight="1" x14ac:dyDescent="0.25">
      <c r="A1008" s="159"/>
      <c r="B1008" s="295" t="s">
        <v>275</v>
      </c>
      <c r="C1008" s="633">
        <v>798999550</v>
      </c>
      <c r="D1008" s="242">
        <f>D1009</f>
        <v>796212050</v>
      </c>
      <c r="E1008" s="333">
        <f>D1008/C1008*100</f>
        <v>99.651126211522893</v>
      </c>
      <c r="F1008" s="379">
        <v>100</v>
      </c>
      <c r="G1008" s="111"/>
      <c r="H1008" s="80"/>
      <c r="I1008" s="80"/>
      <c r="J1008" s="80"/>
      <c r="K1008" s="80"/>
      <c r="L1008" s="80"/>
      <c r="M1008" s="80"/>
      <c r="N1008" s="80"/>
      <c r="O1008" s="80"/>
      <c r="P1008" s="80"/>
      <c r="Q1008" s="80"/>
      <c r="R1008" s="80"/>
      <c r="S1008" s="80"/>
      <c r="T1008" s="80"/>
      <c r="U1008" s="80"/>
      <c r="V1008" s="80"/>
      <c r="W1008" s="80"/>
      <c r="X1008" s="80"/>
      <c r="Y1008" s="80"/>
      <c r="Z1008" s="80"/>
      <c r="AA1008" s="80"/>
      <c r="AB1008" s="80"/>
      <c r="AC1008" s="80"/>
      <c r="AD1008" s="80"/>
    </row>
    <row r="1009" spans="1:30" s="104" customFormat="1" ht="20.100000000000001" customHeight="1" x14ac:dyDescent="0.25">
      <c r="A1009" s="159"/>
      <c r="B1009" s="294" t="s">
        <v>1492</v>
      </c>
      <c r="C1009" s="635">
        <v>798999550</v>
      </c>
      <c r="D1009" s="243">
        <v>796212050</v>
      </c>
      <c r="E1009" s="379">
        <f>D1009/C1009*100</f>
        <v>99.651126211522893</v>
      </c>
      <c r="F1009" s="379">
        <v>100</v>
      </c>
      <c r="G1009" s="111"/>
      <c r="H1009" s="80"/>
      <c r="I1009" s="80"/>
      <c r="J1009" s="80"/>
      <c r="K1009" s="80"/>
      <c r="L1009" s="80"/>
      <c r="M1009" s="80"/>
      <c r="N1009" s="80"/>
      <c r="O1009" s="80"/>
      <c r="P1009" s="80"/>
      <c r="Q1009" s="80"/>
      <c r="R1009" s="80"/>
      <c r="S1009" s="80"/>
      <c r="T1009" s="80"/>
      <c r="U1009" s="80"/>
      <c r="V1009" s="80"/>
      <c r="W1009" s="80"/>
      <c r="X1009" s="80"/>
      <c r="Y1009" s="80"/>
      <c r="Z1009" s="80"/>
      <c r="AA1009" s="80"/>
      <c r="AB1009" s="80"/>
      <c r="AC1009" s="80"/>
      <c r="AD1009" s="80"/>
    </row>
    <row r="1010" spans="1:30" ht="16.5" customHeight="1" x14ac:dyDescent="0.25">
      <c r="A1010" s="159"/>
      <c r="B1010" s="32"/>
      <c r="C1010" s="582"/>
      <c r="D1010" s="778"/>
      <c r="E1010" s="117"/>
      <c r="F1010" s="117"/>
      <c r="G1010" s="111"/>
    </row>
    <row r="1011" spans="1:30" s="104" customFormat="1" ht="20.100000000000001" customHeight="1" x14ac:dyDescent="0.25">
      <c r="A1011" s="159">
        <v>18</v>
      </c>
      <c r="B1011" s="277" t="s">
        <v>2865</v>
      </c>
      <c r="C1011" s="595">
        <f>+C1012+C1037</f>
        <v>31242583300</v>
      </c>
      <c r="D1011" s="779">
        <f>+D1012+D1037</f>
        <v>29353850000</v>
      </c>
      <c r="E1011" s="114">
        <f>+D1011/C1011*100</f>
        <v>93.954618663047611</v>
      </c>
      <c r="F1011" s="114">
        <f>(F1012+F1037)/2</f>
        <v>98</v>
      </c>
      <c r="G1011" s="121"/>
      <c r="H1011" s="324"/>
      <c r="I1011" s="80"/>
      <c r="J1011" s="80"/>
      <c r="K1011" s="80"/>
      <c r="L1011" s="80"/>
      <c r="M1011" s="80"/>
      <c r="N1011" s="80"/>
      <c r="O1011" s="80"/>
      <c r="P1011" s="80"/>
      <c r="Q1011" s="80"/>
      <c r="R1011" s="80"/>
      <c r="S1011" s="80"/>
      <c r="T1011" s="80"/>
      <c r="U1011" s="80"/>
      <c r="V1011" s="80"/>
      <c r="W1011" s="80"/>
      <c r="X1011" s="80"/>
      <c r="Y1011" s="80"/>
      <c r="Z1011" s="80"/>
      <c r="AA1011" s="80"/>
      <c r="AB1011" s="80"/>
      <c r="AC1011" s="80"/>
      <c r="AD1011" s="80"/>
    </row>
    <row r="1012" spans="1:30" s="104" customFormat="1" ht="20.100000000000001" customHeight="1" x14ac:dyDescent="0.25">
      <c r="A1012" s="159"/>
      <c r="B1012" s="295" t="s">
        <v>82</v>
      </c>
      <c r="C1012" s="536">
        <f>+C1013+C1015+C1018+C1023+C1025+C1027+C1030+C1033</f>
        <v>26242583300</v>
      </c>
      <c r="D1012" s="839">
        <f>D1013+D1015+D1018+D1023+D1025+D1027+D1030+D1033</f>
        <v>24353850000</v>
      </c>
      <c r="E1012" s="376">
        <f t="shared" ref="E1012:E1024" si="77">D1012/C1012*100</f>
        <v>92.802792017811754</v>
      </c>
      <c r="F1012" s="376">
        <v>96</v>
      </c>
      <c r="G1012" s="536"/>
      <c r="H1012" s="80"/>
      <c r="I1012" s="80"/>
      <c r="J1012" s="80"/>
      <c r="K1012" s="80"/>
      <c r="L1012" s="80"/>
      <c r="M1012" s="80"/>
      <c r="N1012" s="80"/>
      <c r="O1012" s="80"/>
      <c r="P1012" s="80"/>
      <c r="Q1012" s="80"/>
      <c r="R1012" s="80"/>
      <c r="S1012" s="80"/>
      <c r="T1012" s="80"/>
      <c r="U1012" s="80"/>
      <c r="V1012" s="80"/>
      <c r="W1012" s="80"/>
      <c r="X1012" s="80"/>
      <c r="Y1012" s="80"/>
      <c r="Z1012" s="80"/>
      <c r="AA1012" s="80"/>
      <c r="AB1012" s="80"/>
      <c r="AC1012" s="80"/>
      <c r="AD1012" s="80"/>
    </row>
    <row r="1013" spans="1:30" s="104" customFormat="1" ht="20.100000000000001" customHeight="1" x14ac:dyDescent="0.25">
      <c r="A1013" s="159"/>
      <c r="B1013" s="317" t="s">
        <v>2866</v>
      </c>
      <c r="C1013" s="536">
        <v>450000000</v>
      </c>
      <c r="D1013" s="839">
        <f>+D1014</f>
        <v>139350000</v>
      </c>
      <c r="E1013" s="577">
        <f t="shared" si="77"/>
        <v>30.966666666666665</v>
      </c>
      <c r="F1013" s="376">
        <v>30</v>
      </c>
      <c r="G1013" s="536"/>
      <c r="H1013" s="80"/>
      <c r="I1013" s="80"/>
      <c r="J1013" s="80"/>
      <c r="K1013" s="80"/>
      <c r="L1013" s="80"/>
      <c r="M1013" s="80"/>
      <c r="N1013" s="80"/>
      <c r="O1013" s="80"/>
      <c r="P1013" s="80"/>
      <c r="Q1013" s="80"/>
      <c r="R1013" s="80"/>
      <c r="S1013" s="80"/>
      <c r="T1013" s="80"/>
      <c r="U1013" s="80"/>
      <c r="V1013" s="80"/>
      <c r="W1013" s="80"/>
      <c r="X1013" s="80"/>
      <c r="Y1013" s="80"/>
      <c r="Z1013" s="80"/>
      <c r="AA1013" s="80"/>
      <c r="AB1013" s="80"/>
      <c r="AC1013" s="80"/>
      <c r="AD1013" s="80"/>
    </row>
    <row r="1014" spans="1:30" s="104" customFormat="1" ht="20.100000000000001" customHeight="1" x14ac:dyDescent="0.25">
      <c r="A1014" s="159"/>
      <c r="B1014" s="578" t="s">
        <v>2867</v>
      </c>
      <c r="C1014" s="537">
        <v>450000000</v>
      </c>
      <c r="D1014" s="840">
        <f>139350000</f>
        <v>139350000</v>
      </c>
      <c r="E1014" s="579">
        <f t="shared" si="77"/>
        <v>30.966666666666665</v>
      </c>
      <c r="F1014" s="377">
        <v>20</v>
      </c>
      <c r="G1014" s="537"/>
      <c r="H1014" s="80"/>
      <c r="I1014" s="80"/>
      <c r="J1014" s="80"/>
      <c r="K1014" s="80"/>
      <c r="L1014" s="80"/>
      <c r="M1014" s="80"/>
      <c r="N1014" s="80"/>
      <c r="O1014" s="80"/>
      <c r="P1014" s="80"/>
      <c r="Q1014" s="80"/>
      <c r="R1014" s="80"/>
      <c r="S1014" s="80"/>
      <c r="T1014" s="80"/>
      <c r="U1014" s="80"/>
      <c r="V1014" s="80"/>
      <c r="W1014" s="80"/>
      <c r="X1014" s="80"/>
      <c r="Y1014" s="80"/>
      <c r="Z1014" s="80"/>
      <c r="AA1014" s="80"/>
      <c r="AB1014" s="80"/>
      <c r="AC1014" s="80"/>
      <c r="AD1014" s="80"/>
    </row>
    <row r="1015" spans="1:30" s="104" customFormat="1" ht="20.100000000000001" customHeight="1" x14ac:dyDescent="0.25">
      <c r="A1015" s="159"/>
      <c r="B1015" s="316" t="s">
        <v>797</v>
      </c>
      <c r="C1015" s="536">
        <v>1940000000</v>
      </c>
      <c r="D1015" s="841">
        <f>D1016+D1017</f>
        <v>1904000000</v>
      </c>
      <c r="E1015" s="577">
        <f t="shared" si="77"/>
        <v>98.144329896907209</v>
      </c>
      <c r="F1015" s="577">
        <v>100</v>
      </c>
      <c r="G1015" s="536"/>
      <c r="H1015" s="80"/>
      <c r="I1015" s="80"/>
      <c r="J1015" s="80"/>
      <c r="K1015" s="80"/>
      <c r="L1015" s="80"/>
      <c r="M1015" s="80"/>
      <c r="N1015" s="80"/>
      <c r="O1015" s="80"/>
      <c r="P1015" s="80"/>
      <c r="Q1015" s="80"/>
      <c r="R1015" s="80"/>
      <c r="S1015" s="80"/>
      <c r="T1015" s="80"/>
      <c r="U1015" s="80"/>
      <c r="V1015" s="80"/>
      <c r="W1015" s="80"/>
      <c r="X1015" s="80"/>
      <c r="Y1015" s="80"/>
      <c r="Z1015" s="80"/>
      <c r="AA1015" s="80"/>
      <c r="AB1015" s="80"/>
      <c r="AC1015" s="80"/>
      <c r="AD1015" s="80"/>
    </row>
    <row r="1016" spans="1:30" s="104" customFormat="1" ht="20.100000000000001" customHeight="1" x14ac:dyDescent="0.25">
      <c r="A1016" s="159"/>
      <c r="B1016" s="412" t="s">
        <v>4020</v>
      </c>
      <c r="C1016" s="537">
        <v>500000000</v>
      </c>
      <c r="D1016" s="842">
        <f>464000000</f>
        <v>464000000</v>
      </c>
      <c r="E1016" s="579">
        <f t="shared" si="77"/>
        <v>92.800000000000011</v>
      </c>
      <c r="F1016" s="579">
        <v>100</v>
      </c>
      <c r="G1016" s="537"/>
      <c r="H1016" s="80"/>
      <c r="I1016" s="80"/>
      <c r="J1016" s="80"/>
      <c r="K1016" s="80"/>
      <c r="L1016" s="80"/>
      <c r="M1016" s="80"/>
      <c r="N1016" s="80"/>
      <c r="O1016" s="80"/>
      <c r="P1016" s="80"/>
      <c r="Q1016" s="80"/>
      <c r="R1016" s="80"/>
      <c r="S1016" s="80"/>
      <c r="T1016" s="80"/>
      <c r="U1016" s="80"/>
      <c r="V1016" s="80"/>
      <c r="W1016" s="80"/>
      <c r="X1016" s="80"/>
      <c r="Y1016" s="80"/>
      <c r="Z1016" s="80"/>
      <c r="AA1016" s="80"/>
      <c r="AB1016" s="80"/>
      <c r="AC1016" s="80"/>
      <c r="AD1016" s="80"/>
    </row>
    <row r="1017" spans="1:30" s="104" customFormat="1" ht="20.100000000000001" customHeight="1" x14ac:dyDescent="0.25">
      <c r="A1017" s="159"/>
      <c r="B1017" s="412" t="s">
        <v>2869</v>
      </c>
      <c r="C1017" s="537">
        <v>1440000000</v>
      </c>
      <c r="D1017" s="842">
        <f>1440000000</f>
        <v>1440000000</v>
      </c>
      <c r="E1017" s="579">
        <f t="shared" si="77"/>
        <v>100</v>
      </c>
      <c r="F1017" s="579">
        <v>100</v>
      </c>
      <c r="G1017" s="537"/>
      <c r="H1017" s="80"/>
      <c r="I1017" s="80"/>
      <c r="J1017" s="80"/>
      <c r="K1017" s="80"/>
      <c r="L1017" s="80"/>
      <c r="M1017" s="80"/>
      <c r="N1017" s="80"/>
      <c r="O1017" s="80"/>
      <c r="P1017" s="80"/>
      <c r="Q1017" s="80"/>
      <c r="R1017" s="80"/>
      <c r="S1017" s="80"/>
      <c r="T1017" s="80"/>
      <c r="U1017" s="80"/>
      <c r="V1017" s="80"/>
      <c r="W1017" s="80"/>
      <c r="X1017" s="80"/>
      <c r="Y1017" s="80"/>
      <c r="Z1017" s="80"/>
      <c r="AA1017" s="80"/>
      <c r="AB1017" s="80"/>
      <c r="AC1017" s="80"/>
      <c r="AD1017" s="80"/>
    </row>
    <row r="1018" spans="1:30" s="104" customFormat="1" ht="20.100000000000001" customHeight="1" x14ac:dyDescent="0.25">
      <c r="A1018" s="159"/>
      <c r="B1018" s="316" t="s">
        <v>680</v>
      </c>
      <c r="C1018" s="536">
        <v>8176583300</v>
      </c>
      <c r="D1018" s="841">
        <f>SUM(D1019:D1022)</f>
        <v>7668000000</v>
      </c>
      <c r="E1018" s="577">
        <f t="shared" si="77"/>
        <v>93.78000221681836</v>
      </c>
      <c r="F1018" s="577">
        <v>100</v>
      </c>
      <c r="G1018" s="536"/>
      <c r="H1018" s="80"/>
      <c r="I1018" s="80"/>
      <c r="J1018" s="80"/>
      <c r="K1018" s="80"/>
      <c r="L1018" s="80"/>
      <c r="M1018" s="80"/>
      <c r="N1018" s="80"/>
      <c r="O1018" s="80"/>
      <c r="P1018" s="80"/>
      <c r="Q1018" s="80"/>
      <c r="R1018" s="80"/>
      <c r="S1018" s="80"/>
      <c r="T1018" s="80"/>
      <c r="U1018" s="80"/>
      <c r="V1018" s="80"/>
      <c r="W1018" s="80"/>
      <c r="X1018" s="80"/>
      <c r="Y1018" s="80"/>
      <c r="Z1018" s="80"/>
      <c r="AA1018" s="80"/>
      <c r="AB1018" s="80"/>
      <c r="AC1018" s="80"/>
      <c r="AD1018" s="80"/>
    </row>
    <row r="1019" spans="1:30" s="104" customFormat="1" ht="20.100000000000001" customHeight="1" x14ac:dyDescent="0.25">
      <c r="A1019" s="159"/>
      <c r="B1019" s="412" t="s">
        <v>2870</v>
      </c>
      <c r="C1019" s="537">
        <v>642000000</v>
      </c>
      <c r="D1019" s="842">
        <f>299000000+299000000</f>
        <v>598000000</v>
      </c>
      <c r="E1019" s="579">
        <f t="shared" si="77"/>
        <v>93.146417445482868</v>
      </c>
      <c r="F1019" s="579">
        <v>100</v>
      </c>
      <c r="G1019" s="537"/>
      <c r="H1019" s="80"/>
      <c r="I1019" s="80"/>
      <c r="J1019" s="80"/>
      <c r="K1019" s="80"/>
      <c r="L1019" s="80"/>
      <c r="M1019" s="80"/>
      <c r="N1019" s="80"/>
      <c r="O1019" s="80"/>
      <c r="P1019" s="80"/>
      <c r="Q1019" s="80"/>
      <c r="R1019" s="80"/>
      <c r="S1019" s="80"/>
      <c r="T1019" s="80"/>
      <c r="U1019" s="80"/>
      <c r="V1019" s="80"/>
      <c r="W1019" s="80"/>
      <c r="X1019" s="80"/>
      <c r="Y1019" s="80"/>
      <c r="Z1019" s="80"/>
      <c r="AA1019" s="80"/>
      <c r="AB1019" s="80"/>
      <c r="AC1019" s="80"/>
      <c r="AD1019" s="80"/>
    </row>
    <row r="1020" spans="1:30" s="104" customFormat="1" ht="20.100000000000001" customHeight="1" x14ac:dyDescent="0.25">
      <c r="A1020" s="159"/>
      <c r="B1020" s="412" t="s">
        <v>2871</v>
      </c>
      <c r="C1020" s="537">
        <v>1100000000</v>
      </c>
      <c r="D1020" s="842">
        <f>1100000000</f>
        <v>1100000000</v>
      </c>
      <c r="E1020" s="579">
        <f t="shared" si="77"/>
        <v>100</v>
      </c>
      <c r="F1020" s="579">
        <v>100</v>
      </c>
      <c r="G1020" s="537"/>
      <c r="H1020" s="80"/>
      <c r="I1020" s="80"/>
      <c r="J1020" s="80"/>
      <c r="K1020" s="80"/>
      <c r="L1020" s="80"/>
      <c r="M1020" s="80"/>
      <c r="N1020" s="80"/>
      <c r="O1020" s="80"/>
      <c r="P1020" s="80"/>
      <c r="Q1020" s="80"/>
      <c r="R1020" s="80"/>
      <c r="S1020" s="80"/>
      <c r="T1020" s="80"/>
      <c r="U1020" s="80"/>
      <c r="V1020" s="80"/>
      <c r="W1020" s="80"/>
      <c r="X1020" s="80"/>
      <c r="Y1020" s="80"/>
      <c r="Z1020" s="80"/>
      <c r="AA1020" s="80"/>
      <c r="AB1020" s="80"/>
      <c r="AC1020" s="80"/>
      <c r="AD1020" s="80"/>
    </row>
    <row r="1021" spans="1:30" s="104" customFormat="1" ht="20.100000000000001" customHeight="1" x14ac:dyDescent="0.25">
      <c r="A1021" s="159"/>
      <c r="B1021" s="412" t="s">
        <v>2872</v>
      </c>
      <c r="C1021" s="537">
        <v>374500000</v>
      </c>
      <c r="D1021" s="842">
        <f>104700000+244300000</f>
        <v>349000000</v>
      </c>
      <c r="E1021" s="579">
        <f t="shared" si="77"/>
        <v>93.190921228304404</v>
      </c>
      <c r="F1021" s="579">
        <v>100</v>
      </c>
      <c r="G1021" s="537"/>
      <c r="H1021" s="80"/>
      <c r="I1021" s="80"/>
      <c r="J1021" s="80"/>
      <c r="K1021" s="80"/>
      <c r="L1021" s="80"/>
      <c r="M1021" s="80"/>
      <c r="N1021" s="80"/>
      <c r="O1021" s="80"/>
      <c r="P1021" s="80"/>
      <c r="Q1021" s="80"/>
      <c r="R1021" s="80"/>
      <c r="S1021" s="80"/>
      <c r="T1021" s="80"/>
      <c r="U1021" s="80"/>
      <c r="V1021" s="80"/>
      <c r="W1021" s="80"/>
      <c r="X1021" s="80"/>
      <c r="Y1021" s="80"/>
      <c r="Z1021" s="80"/>
      <c r="AA1021" s="80"/>
      <c r="AB1021" s="80"/>
      <c r="AC1021" s="80"/>
      <c r="AD1021" s="80"/>
    </row>
    <row r="1022" spans="1:30" s="104" customFormat="1" ht="20.100000000000001" customHeight="1" x14ac:dyDescent="0.25">
      <c r="A1022" s="159"/>
      <c r="B1022" s="412" t="s">
        <v>979</v>
      </c>
      <c r="C1022" s="537">
        <v>6060083300</v>
      </c>
      <c r="D1022" s="842">
        <f>187500000+104100000+187500000+178500000+216600000+278400000+437500000+179400000+242900000+231500000+461500000+505400000+208200000+649600000+418600000+416500000+485800000+231500000</f>
        <v>5621000000</v>
      </c>
      <c r="E1022" s="579">
        <f t="shared" si="77"/>
        <v>92.754500585825284</v>
      </c>
      <c r="F1022" s="579">
        <v>100</v>
      </c>
      <c r="G1022" s="537"/>
      <c r="H1022" s="80"/>
      <c r="I1022" s="80"/>
      <c r="J1022" s="80"/>
      <c r="K1022" s="80"/>
      <c r="L1022" s="80"/>
      <c r="M1022" s="80"/>
      <c r="N1022" s="80"/>
      <c r="O1022" s="80"/>
      <c r="P1022" s="80"/>
      <c r="Q1022" s="80"/>
      <c r="R1022" s="80"/>
      <c r="S1022" s="80"/>
      <c r="T1022" s="80"/>
      <c r="U1022" s="80"/>
      <c r="V1022" s="80"/>
      <c r="W1022" s="80"/>
      <c r="X1022" s="80"/>
      <c r="Y1022" s="80"/>
      <c r="Z1022" s="80"/>
      <c r="AA1022" s="80"/>
      <c r="AB1022" s="80"/>
      <c r="AC1022" s="80"/>
      <c r="AD1022" s="80"/>
    </row>
    <row r="1023" spans="1:30" s="104" customFormat="1" ht="20.100000000000001" customHeight="1" x14ac:dyDescent="0.25">
      <c r="A1023" s="159"/>
      <c r="B1023" s="316" t="s">
        <v>693</v>
      </c>
      <c r="C1023" s="536">
        <v>481500000</v>
      </c>
      <c r="D1023" s="815">
        <f>D1024</f>
        <v>448000000</v>
      </c>
      <c r="E1023" s="577">
        <f t="shared" si="77"/>
        <v>93.042575285565945</v>
      </c>
      <c r="F1023" s="577">
        <v>100</v>
      </c>
      <c r="G1023" s="536"/>
      <c r="H1023" s="80"/>
      <c r="I1023" s="80"/>
      <c r="J1023" s="80"/>
      <c r="K1023" s="80"/>
      <c r="L1023" s="80"/>
      <c r="M1023" s="80"/>
      <c r="N1023" s="80"/>
      <c r="O1023" s="80"/>
      <c r="P1023" s="80"/>
      <c r="Q1023" s="80"/>
      <c r="R1023" s="80"/>
      <c r="S1023" s="80"/>
      <c r="T1023" s="80"/>
      <c r="U1023" s="80"/>
      <c r="V1023" s="80"/>
      <c r="W1023" s="80"/>
      <c r="X1023" s="80"/>
      <c r="Y1023" s="80"/>
      <c r="Z1023" s="80"/>
      <c r="AA1023" s="80"/>
      <c r="AB1023" s="80"/>
      <c r="AC1023" s="80"/>
      <c r="AD1023" s="80"/>
    </row>
    <row r="1024" spans="1:30" s="104" customFormat="1" ht="20.100000000000001" customHeight="1" x14ac:dyDescent="0.25">
      <c r="A1024" s="159"/>
      <c r="B1024" s="412" t="s">
        <v>2873</v>
      </c>
      <c r="C1024" s="537">
        <v>481500000</v>
      </c>
      <c r="D1024" s="843">
        <f>448000000</f>
        <v>448000000</v>
      </c>
      <c r="E1024" s="579">
        <f t="shared" si="77"/>
        <v>93.042575285565945</v>
      </c>
      <c r="F1024" s="579">
        <v>100</v>
      </c>
      <c r="G1024" s="537"/>
      <c r="H1024" s="80"/>
      <c r="I1024" s="80"/>
      <c r="J1024" s="80"/>
      <c r="K1024" s="80"/>
      <c r="L1024" s="80"/>
      <c r="M1024" s="80"/>
      <c r="N1024" s="80"/>
      <c r="O1024" s="80"/>
      <c r="P1024" s="80"/>
      <c r="Q1024" s="80"/>
      <c r="R1024" s="80"/>
      <c r="S1024" s="80"/>
      <c r="T1024" s="80"/>
      <c r="U1024" s="80"/>
      <c r="V1024" s="80"/>
      <c r="W1024" s="80"/>
      <c r="X1024" s="80"/>
      <c r="Y1024" s="80"/>
      <c r="Z1024" s="80"/>
      <c r="AA1024" s="80"/>
      <c r="AB1024" s="80"/>
      <c r="AC1024" s="80"/>
      <c r="AD1024" s="80"/>
    </row>
    <row r="1025" spans="1:30" s="104" customFormat="1" ht="20.100000000000001" customHeight="1" x14ac:dyDescent="0.25">
      <c r="A1025" s="159"/>
      <c r="B1025" s="316" t="s">
        <v>92</v>
      </c>
      <c r="C1025" s="536">
        <v>245560000</v>
      </c>
      <c r="D1025" s="815">
        <f>D1026</f>
        <v>245560000</v>
      </c>
      <c r="E1025" s="577">
        <v>100</v>
      </c>
      <c r="F1025" s="577">
        <v>100</v>
      </c>
      <c r="G1025" s="536"/>
      <c r="H1025" s="80"/>
      <c r="I1025" s="80"/>
      <c r="J1025" s="80"/>
      <c r="K1025" s="80"/>
      <c r="L1025" s="80"/>
      <c r="M1025" s="80"/>
      <c r="N1025" s="80"/>
      <c r="O1025" s="80"/>
      <c r="P1025" s="80"/>
      <c r="Q1025" s="80"/>
      <c r="R1025" s="80"/>
      <c r="S1025" s="80"/>
      <c r="T1025" s="80"/>
      <c r="U1025" s="80"/>
      <c r="V1025" s="80"/>
      <c r="W1025" s="80"/>
      <c r="X1025" s="80"/>
      <c r="Y1025" s="80"/>
      <c r="Z1025" s="80"/>
      <c r="AA1025" s="80"/>
      <c r="AB1025" s="80"/>
      <c r="AC1025" s="80"/>
      <c r="AD1025" s="80"/>
    </row>
    <row r="1026" spans="1:30" s="104" customFormat="1" ht="20.100000000000001" customHeight="1" x14ac:dyDescent="0.25">
      <c r="A1026" s="159"/>
      <c r="B1026" s="412" t="s">
        <v>4021</v>
      </c>
      <c r="C1026" s="537">
        <v>245560000</v>
      </c>
      <c r="D1026" s="843">
        <f>245560000</f>
        <v>245560000</v>
      </c>
      <c r="E1026" s="579">
        <v>100</v>
      </c>
      <c r="F1026" s="579">
        <v>100</v>
      </c>
      <c r="G1026" s="537"/>
      <c r="H1026" s="80"/>
      <c r="I1026" s="80"/>
      <c r="J1026" s="80"/>
      <c r="K1026" s="80"/>
      <c r="L1026" s="80"/>
      <c r="M1026" s="80"/>
      <c r="N1026" s="80"/>
      <c r="O1026" s="80"/>
      <c r="P1026" s="80"/>
      <c r="Q1026" s="80"/>
      <c r="R1026" s="80"/>
      <c r="S1026" s="80"/>
      <c r="T1026" s="80"/>
      <c r="U1026" s="80"/>
      <c r="V1026" s="80"/>
      <c r="W1026" s="80"/>
      <c r="X1026" s="80"/>
      <c r="Y1026" s="80"/>
      <c r="Z1026" s="80"/>
      <c r="AA1026" s="80"/>
      <c r="AB1026" s="80"/>
      <c r="AC1026" s="80"/>
      <c r="AD1026" s="80"/>
    </row>
    <row r="1027" spans="1:30" s="104" customFormat="1" ht="20.100000000000001" customHeight="1" x14ac:dyDescent="0.25">
      <c r="A1027" s="159"/>
      <c r="B1027" s="316" t="s">
        <v>100</v>
      </c>
      <c r="C1027" s="536">
        <v>4050000000</v>
      </c>
      <c r="D1027" s="844">
        <f>SUM(D1028:D1029)</f>
        <v>4050000000</v>
      </c>
      <c r="E1027" s="577">
        <v>100</v>
      </c>
      <c r="F1027" s="577">
        <v>100</v>
      </c>
      <c r="G1027" s="536"/>
      <c r="H1027" s="80"/>
      <c r="I1027" s="80"/>
      <c r="J1027" s="80"/>
      <c r="K1027" s="80"/>
      <c r="L1027" s="80"/>
      <c r="M1027" s="80"/>
      <c r="N1027" s="80"/>
      <c r="O1027" s="80"/>
      <c r="P1027" s="80"/>
      <c r="Q1027" s="80"/>
      <c r="R1027" s="80"/>
      <c r="S1027" s="80"/>
      <c r="T1027" s="80"/>
      <c r="U1027" s="80"/>
      <c r="V1027" s="80"/>
      <c r="W1027" s="80"/>
      <c r="X1027" s="80"/>
      <c r="Y1027" s="80"/>
      <c r="Z1027" s="80"/>
      <c r="AA1027" s="80"/>
      <c r="AB1027" s="80"/>
      <c r="AC1027" s="80"/>
      <c r="AD1027" s="80"/>
    </row>
    <row r="1028" spans="1:30" s="104" customFormat="1" ht="20.100000000000001" customHeight="1" x14ac:dyDescent="0.25">
      <c r="A1028" s="159"/>
      <c r="B1028" s="412" t="s">
        <v>1010</v>
      </c>
      <c r="C1028" s="537">
        <v>200000000</v>
      </c>
      <c r="D1028" s="826">
        <f>200000000</f>
        <v>200000000</v>
      </c>
      <c r="E1028" s="579">
        <v>100</v>
      </c>
      <c r="F1028" s="579">
        <v>100</v>
      </c>
      <c r="G1028" s="537"/>
      <c r="H1028" s="80"/>
      <c r="I1028" s="80"/>
      <c r="J1028" s="80"/>
      <c r="K1028" s="80"/>
      <c r="L1028" s="80"/>
      <c r="M1028" s="80"/>
      <c r="N1028" s="80"/>
      <c r="O1028" s="80"/>
      <c r="P1028" s="80"/>
      <c r="Q1028" s="80"/>
      <c r="R1028" s="80"/>
      <c r="S1028" s="80"/>
      <c r="T1028" s="80"/>
      <c r="U1028" s="80"/>
      <c r="V1028" s="80"/>
      <c r="W1028" s="80"/>
      <c r="X1028" s="80"/>
      <c r="Y1028" s="80"/>
      <c r="Z1028" s="80"/>
      <c r="AA1028" s="80"/>
      <c r="AB1028" s="80"/>
      <c r="AC1028" s="80"/>
      <c r="AD1028" s="80"/>
    </row>
    <row r="1029" spans="1:30" s="104" customFormat="1" ht="20.100000000000001" customHeight="1" x14ac:dyDescent="0.25">
      <c r="A1029" s="159"/>
      <c r="B1029" s="412" t="s">
        <v>1011</v>
      </c>
      <c r="C1029" s="537">
        <v>3850000000</v>
      </c>
      <c r="D1029" s="843">
        <f>3850000000</f>
        <v>3850000000</v>
      </c>
      <c r="E1029" s="579">
        <v>100</v>
      </c>
      <c r="F1029" s="579">
        <v>100</v>
      </c>
      <c r="G1029" s="537"/>
      <c r="H1029" s="80"/>
      <c r="I1029" s="80"/>
      <c r="J1029" s="80"/>
      <c r="K1029" s="80"/>
      <c r="L1029" s="80"/>
      <c r="M1029" s="80"/>
      <c r="N1029" s="80"/>
      <c r="O1029" s="80"/>
      <c r="P1029" s="80"/>
      <c r="Q1029" s="80"/>
      <c r="R1029" s="80"/>
      <c r="S1029" s="80"/>
      <c r="T1029" s="80"/>
      <c r="U1029" s="80"/>
      <c r="V1029" s="80"/>
      <c r="W1029" s="80"/>
      <c r="X1029" s="80"/>
      <c r="Y1029" s="80"/>
      <c r="Z1029" s="80"/>
      <c r="AA1029" s="80"/>
      <c r="AB1029" s="80"/>
      <c r="AC1029" s="80"/>
      <c r="AD1029" s="80"/>
    </row>
    <row r="1030" spans="1:30" s="104" customFormat="1" ht="20.100000000000001" customHeight="1" x14ac:dyDescent="0.25">
      <c r="A1030" s="159"/>
      <c r="B1030" s="316" t="s">
        <v>109</v>
      </c>
      <c r="C1030" s="536">
        <v>9670000000</v>
      </c>
      <c r="D1030" s="815">
        <f>SUM(D1031:D1032)</f>
        <v>8670000000</v>
      </c>
      <c r="E1030" s="577">
        <v>100</v>
      </c>
      <c r="F1030" s="577">
        <v>100</v>
      </c>
      <c r="G1030" s="536"/>
      <c r="H1030" s="80"/>
      <c r="I1030" s="80"/>
      <c r="J1030" s="80"/>
      <c r="K1030" s="80"/>
      <c r="L1030" s="80"/>
      <c r="M1030" s="80"/>
      <c r="N1030" s="80"/>
      <c r="O1030" s="80"/>
      <c r="P1030" s="80"/>
      <c r="Q1030" s="80"/>
      <c r="R1030" s="80"/>
      <c r="S1030" s="80"/>
      <c r="T1030" s="80"/>
      <c r="U1030" s="80"/>
      <c r="V1030" s="80"/>
      <c r="W1030" s="80"/>
      <c r="X1030" s="80"/>
      <c r="Y1030" s="80"/>
      <c r="Z1030" s="80"/>
      <c r="AA1030" s="80"/>
      <c r="AB1030" s="80"/>
      <c r="AC1030" s="80"/>
      <c r="AD1030" s="80"/>
    </row>
    <row r="1031" spans="1:30" s="104" customFormat="1" ht="20.100000000000001" customHeight="1" x14ac:dyDescent="0.25">
      <c r="A1031" s="159"/>
      <c r="B1031" s="412" t="s">
        <v>1018</v>
      </c>
      <c r="C1031" s="537">
        <v>8170000000</v>
      </c>
      <c r="D1031" s="843">
        <f>7170000000</f>
        <v>7170000000</v>
      </c>
      <c r="E1031" s="579">
        <v>100</v>
      </c>
      <c r="F1031" s="579">
        <v>100</v>
      </c>
      <c r="G1031" s="537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  <c r="R1031" s="80"/>
      <c r="S1031" s="80"/>
      <c r="T1031" s="80"/>
      <c r="U1031" s="80"/>
      <c r="V1031" s="80"/>
      <c r="W1031" s="80"/>
      <c r="X1031" s="80"/>
      <c r="Y1031" s="80"/>
      <c r="Z1031" s="80"/>
      <c r="AA1031" s="80"/>
      <c r="AB1031" s="80"/>
      <c r="AC1031" s="80"/>
      <c r="AD1031" s="80"/>
    </row>
    <row r="1032" spans="1:30" s="104" customFormat="1" ht="20.100000000000001" customHeight="1" x14ac:dyDescent="0.25">
      <c r="A1032" s="159"/>
      <c r="B1032" s="412" t="s">
        <v>2876</v>
      </c>
      <c r="C1032" s="537">
        <v>1500000000</v>
      </c>
      <c r="D1032" s="843">
        <f>1500000000</f>
        <v>1500000000</v>
      </c>
      <c r="E1032" s="579">
        <v>100</v>
      </c>
      <c r="F1032" s="579">
        <v>100</v>
      </c>
      <c r="G1032" s="537"/>
      <c r="H1032" s="80"/>
      <c r="I1032" s="80"/>
      <c r="J1032" s="80"/>
      <c r="K1032" s="80"/>
      <c r="L1032" s="80"/>
      <c r="M1032" s="80"/>
      <c r="N1032" s="80"/>
      <c r="O1032" s="80"/>
      <c r="P1032" s="80"/>
      <c r="Q1032" s="80"/>
      <c r="R1032" s="80"/>
      <c r="S1032" s="80"/>
      <c r="T1032" s="80"/>
      <c r="U1032" s="80"/>
      <c r="V1032" s="80"/>
      <c r="W1032" s="80"/>
      <c r="X1032" s="80"/>
      <c r="Y1032" s="80"/>
      <c r="Z1032" s="80"/>
      <c r="AA1032" s="80"/>
      <c r="AB1032" s="80"/>
      <c r="AC1032" s="80"/>
      <c r="AD1032" s="80"/>
    </row>
    <row r="1033" spans="1:30" s="104" customFormat="1" ht="20.100000000000001" customHeight="1" x14ac:dyDescent="0.25">
      <c r="A1033" s="159"/>
      <c r="B1033" s="316" t="s">
        <v>396</v>
      </c>
      <c r="C1033" s="536">
        <v>1228940000</v>
      </c>
      <c r="D1033" s="815">
        <f>SUM(D1034:D1035)</f>
        <v>1228940000</v>
      </c>
      <c r="E1033" s="577">
        <v>100</v>
      </c>
      <c r="F1033" s="577">
        <v>100</v>
      </c>
      <c r="G1033" s="536"/>
      <c r="H1033" s="80"/>
      <c r="I1033" s="80"/>
      <c r="J1033" s="80"/>
      <c r="K1033" s="80"/>
      <c r="L1033" s="80"/>
      <c r="M1033" s="80"/>
      <c r="N1033" s="80"/>
      <c r="O1033" s="80"/>
      <c r="P1033" s="80"/>
      <c r="Q1033" s="80"/>
      <c r="R1033" s="80"/>
      <c r="S1033" s="80"/>
      <c r="T1033" s="80"/>
      <c r="U1033" s="80"/>
      <c r="V1033" s="80"/>
      <c r="W1033" s="80"/>
      <c r="X1033" s="80"/>
      <c r="Y1033" s="80"/>
      <c r="Z1033" s="80"/>
      <c r="AA1033" s="80"/>
      <c r="AB1033" s="80"/>
      <c r="AC1033" s="80"/>
      <c r="AD1033" s="80"/>
    </row>
    <row r="1034" spans="1:30" s="104" customFormat="1" ht="20.100000000000001" customHeight="1" x14ac:dyDescent="0.25">
      <c r="A1034" s="159"/>
      <c r="B1034" s="412" t="s">
        <v>2877</v>
      </c>
      <c r="C1034" s="537">
        <v>1000000000</v>
      </c>
      <c r="D1034" s="843">
        <f>1000000000</f>
        <v>1000000000</v>
      </c>
      <c r="E1034" s="579">
        <v>100</v>
      </c>
      <c r="F1034" s="579">
        <v>100</v>
      </c>
      <c r="G1034" s="537"/>
      <c r="H1034" s="80"/>
      <c r="I1034" s="80"/>
      <c r="J1034" s="80"/>
      <c r="K1034" s="80"/>
      <c r="L1034" s="80"/>
      <c r="M1034" s="80"/>
      <c r="N1034" s="80"/>
      <c r="O1034" s="80"/>
      <c r="P1034" s="80"/>
      <c r="Q1034" s="80"/>
      <c r="R1034" s="80"/>
      <c r="S1034" s="80"/>
      <c r="T1034" s="80"/>
      <c r="U1034" s="80"/>
      <c r="V1034" s="80"/>
      <c r="W1034" s="80"/>
      <c r="X1034" s="80"/>
      <c r="Y1034" s="80"/>
      <c r="Z1034" s="80"/>
      <c r="AA1034" s="80"/>
      <c r="AB1034" s="80"/>
      <c r="AC1034" s="80"/>
      <c r="AD1034" s="80"/>
    </row>
    <row r="1035" spans="1:30" s="104" customFormat="1" ht="20.100000000000001" customHeight="1" x14ac:dyDescent="0.25">
      <c r="A1035" s="159"/>
      <c r="B1035" s="412" t="s">
        <v>2878</v>
      </c>
      <c r="C1035" s="537">
        <v>228940000</v>
      </c>
      <c r="D1035" s="843">
        <f>228940000</f>
        <v>228940000</v>
      </c>
      <c r="E1035" s="579">
        <v>100</v>
      </c>
      <c r="F1035" s="579">
        <v>100</v>
      </c>
      <c r="G1035" s="537"/>
      <c r="H1035" s="80"/>
      <c r="I1035" s="80"/>
      <c r="J1035" s="80"/>
      <c r="K1035" s="80"/>
      <c r="L1035" s="80"/>
      <c r="M1035" s="80"/>
      <c r="N1035" s="80"/>
      <c r="O1035" s="80"/>
      <c r="P1035" s="80"/>
      <c r="Q1035" s="80"/>
      <c r="R1035" s="80"/>
      <c r="S1035" s="80"/>
      <c r="T1035" s="80"/>
      <c r="U1035" s="80"/>
      <c r="V1035" s="80"/>
      <c r="W1035" s="80"/>
      <c r="X1035" s="80"/>
      <c r="Y1035" s="80"/>
      <c r="Z1035" s="80"/>
      <c r="AA1035" s="80"/>
      <c r="AB1035" s="80"/>
      <c r="AC1035" s="80"/>
      <c r="AD1035" s="80"/>
    </row>
    <row r="1036" spans="1:30" s="104" customFormat="1" ht="20.25" customHeight="1" x14ac:dyDescent="0.25">
      <c r="A1036" s="159"/>
      <c r="B1036" s="412"/>
      <c r="C1036" s="578"/>
      <c r="D1036" s="843"/>
      <c r="E1036" s="579"/>
      <c r="F1036" s="579"/>
      <c r="G1036" s="111"/>
      <c r="H1036" s="80"/>
      <c r="I1036" s="80"/>
      <c r="J1036" s="80"/>
      <c r="K1036" s="80"/>
      <c r="L1036" s="80"/>
      <c r="M1036" s="80"/>
      <c r="N1036" s="80"/>
      <c r="O1036" s="80"/>
      <c r="P1036" s="80"/>
      <c r="Q1036" s="80"/>
      <c r="R1036" s="80"/>
      <c r="S1036" s="80"/>
      <c r="T1036" s="80"/>
      <c r="U1036" s="80"/>
      <c r="V1036" s="80"/>
      <c r="W1036" s="80"/>
      <c r="X1036" s="80"/>
      <c r="Y1036" s="80"/>
      <c r="Z1036" s="80"/>
      <c r="AA1036" s="80"/>
      <c r="AB1036" s="80"/>
      <c r="AC1036" s="80"/>
      <c r="AD1036" s="80"/>
    </row>
    <row r="1037" spans="1:30" s="104" customFormat="1" ht="20.100000000000001" customHeight="1" x14ac:dyDescent="0.25">
      <c r="A1037" s="159"/>
      <c r="B1037" s="580" t="s">
        <v>2879</v>
      </c>
      <c r="C1037" s="125">
        <v>5000000000</v>
      </c>
      <c r="D1037" s="844">
        <v>5000000000</v>
      </c>
      <c r="E1037" s="336">
        <v>100</v>
      </c>
      <c r="F1037" s="336">
        <v>100</v>
      </c>
      <c r="G1037" s="111"/>
      <c r="H1037" s="80"/>
      <c r="I1037" s="80"/>
      <c r="J1037" s="80"/>
      <c r="K1037" s="80"/>
      <c r="L1037" s="80"/>
      <c r="M1037" s="80"/>
      <c r="N1037" s="80"/>
      <c r="O1037" s="80"/>
      <c r="P1037" s="80"/>
      <c r="Q1037" s="80"/>
      <c r="R1037" s="80"/>
      <c r="S1037" s="80"/>
      <c r="T1037" s="80"/>
      <c r="U1037" s="80"/>
      <c r="V1037" s="80"/>
      <c r="W1037" s="80"/>
      <c r="X1037" s="80"/>
      <c r="Y1037" s="80"/>
      <c r="Z1037" s="80"/>
      <c r="AA1037" s="80"/>
      <c r="AB1037" s="80"/>
      <c r="AC1037" s="80"/>
      <c r="AD1037" s="80"/>
    </row>
    <row r="1038" spans="1:30" s="104" customFormat="1" ht="20.100000000000001" customHeight="1" x14ac:dyDescent="0.25">
      <c r="A1038" s="159"/>
      <c r="B1038" s="581" t="s">
        <v>2881</v>
      </c>
      <c r="C1038" s="582">
        <v>5000000000</v>
      </c>
      <c r="D1038" s="843">
        <v>5000000000</v>
      </c>
      <c r="E1038" s="334">
        <v>100</v>
      </c>
      <c r="F1038" s="334">
        <v>100</v>
      </c>
      <c r="G1038" s="111"/>
      <c r="H1038" s="80"/>
      <c r="I1038" s="80"/>
      <c r="J1038" s="80"/>
      <c r="K1038" s="80"/>
      <c r="L1038" s="80"/>
      <c r="M1038" s="80"/>
      <c r="N1038" s="80"/>
      <c r="O1038" s="80"/>
      <c r="P1038" s="80"/>
      <c r="Q1038" s="80"/>
      <c r="R1038" s="80"/>
      <c r="S1038" s="80"/>
      <c r="T1038" s="80"/>
      <c r="U1038" s="80"/>
      <c r="V1038" s="80"/>
      <c r="W1038" s="80"/>
      <c r="X1038" s="80"/>
      <c r="Y1038" s="80"/>
      <c r="Z1038" s="80"/>
      <c r="AA1038" s="80"/>
      <c r="AB1038" s="80"/>
      <c r="AC1038" s="80"/>
      <c r="AD1038" s="80"/>
    </row>
    <row r="1039" spans="1:30" ht="20.25" customHeight="1" x14ac:dyDescent="0.25">
      <c r="A1039" s="159"/>
      <c r="B1039" s="32"/>
      <c r="C1039" s="582"/>
      <c r="D1039" s="778"/>
      <c r="E1039" s="117"/>
      <c r="F1039" s="117"/>
      <c r="G1039" s="111"/>
    </row>
    <row r="1040" spans="1:30" s="105" customFormat="1" ht="20.100000000000001" customHeight="1" x14ac:dyDescent="0.25">
      <c r="A1040" s="159">
        <v>19</v>
      </c>
      <c r="B1040" s="277" t="s">
        <v>2927</v>
      </c>
      <c r="C1040" s="595">
        <f>C1041</f>
        <v>25954033200</v>
      </c>
      <c r="D1040" s="779">
        <f>+D1041</f>
        <v>23169756719</v>
      </c>
      <c r="E1040" s="114">
        <f>+D1040/C1040*100</f>
        <v>89.272278186806048</v>
      </c>
      <c r="F1040" s="114">
        <f>F1041</f>
        <v>89.272278186806048</v>
      </c>
      <c r="G1040" s="121"/>
      <c r="H1040" s="115"/>
      <c r="I1040" s="115"/>
      <c r="J1040" s="115"/>
      <c r="K1040" s="115"/>
      <c r="L1040" s="115"/>
      <c r="M1040" s="115"/>
      <c r="N1040" s="115"/>
      <c r="O1040" s="115"/>
      <c r="P1040" s="115"/>
      <c r="Q1040" s="115"/>
      <c r="R1040" s="115"/>
      <c r="S1040" s="115"/>
      <c r="T1040" s="115"/>
      <c r="U1040" s="115"/>
      <c r="V1040" s="115"/>
      <c r="W1040" s="115"/>
      <c r="X1040" s="115"/>
      <c r="Y1040" s="115"/>
      <c r="Z1040" s="115"/>
      <c r="AA1040" s="115"/>
      <c r="AB1040" s="115"/>
      <c r="AC1040" s="115"/>
      <c r="AD1040" s="115"/>
    </row>
    <row r="1041" spans="1:30" s="105" customFormat="1" ht="20.100000000000001" customHeight="1" x14ac:dyDescent="0.25">
      <c r="A1041" s="159"/>
      <c r="B1041" s="249" t="s">
        <v>82</v>
      </c>
      <c r="C1041" s="441">
        <f>+C1042+C1051+C1074+C1081+C1083+C1085</f>
        <v>25954033200</v>
      </c>
      <c r="D1041" s="254">
        <f>+D1042+D1051+D1074+D1081+D1083+D1085</f>
        <v>23169756719</v>
      </c>
      <c r="E1041" s="297">
        <f>+D1041/C1041*100</f>
        <v>89.272278186806048</v>
      </c>
      <c r="F1041" s="114">
        <f>+E1041</f>
        <v>89.272278186806048</v>
      </c>
      <c r="G1041" s="121"/>
      <c r="H1041" s="115"/>
      <c r="I1041" s="115"/>
      <c r="J1041" s="115"/>
      <c r="K1041" s="115"/>
      <c r="L1041" s="115"/>
      <c r="M1041" s="115"/>
      <c r="N1041" s="115"/>
      <c r="O1041" s="115"/>
      <c r="P1041" s="115"/>
      <c r="Q1041" s="115"/>
      <c r="R1041" s="115"/>
      <c r="S1041" s="115"/>
      <c r="T1041" s="115"/>
      <c r="U1041" s="115"/>
      <c r="V1041" s="115"/>
      <c r="W1041" s="115"/>
      <c r="X1041" s="115"/>
      <c r="Y1041" s="115"/>
      <c r="Z1041" s="115"/>
      <c r="AA1041" s="115"/>
      <c r="AB1041" s="115"/>
      <c r="AC1041" s="115"/>
      <c r="AD1041" s="115"/>
    </row>
    <row r="1042" spans="1:30" s="105" customFormat="1" ht="20.100000000000001" customHeight="1" x14ac:dyDescent="0.25">
      <c r="A1042" s="159"/>
      <c r="B1042" s="249" t="s">
        <v>797</v>
      </c>
      <c r="C1042" s="441">
        <f>SUM(C1043:C1050)</f>
        <v>5048184000</v>
      </c>
      <c r="D1042" s="828">
        <f>SUM(D1043:D1050)</f>
        <v>4252068833</v>
      </c>
      <c r="E1042" s="297">
        <f>+D1042/C1042*100</f>
        <v>84.229672155373109</v>
      </c>
      <c r="F1042" s="114">
        <f>+E1042</f>
        <v>84.229672155373109</v>
      </c>
      <c r="G1042" s="121"/>
      <c r="H1042" s="115"/>
      <c r="I1042" s="115"/>
      <c r="J1042" s="115"/>
      <c r="K1042" s="115"/>
      <c r="L1042" s="115"/>
      <c r="M1042" s="115"/>
      <c r="N1042" s="115"/>
      <c r="O1042" s="115"/>
      <c r="P1042" s="115"/>
      <c r="Q1042" s="115"/>
      <c r="R1042" s="115"/>
      <c r="S1042" s="115"/>
      <c r="T1042" s="115"/>
      <c r="U1042" s="115"/>
      <c r="V1042" s="115"/>
      <c r="W1042" s="115"/>
      <c r="X1042" s="115"/>
      <c r="Y1042" s="115"/>
      <c r="Z1042" s="115"/>
      <c r="AA1042" s="115"/>
      <c r="AB1042" s="115"/>
      <c r="AC1042" s="115"/>
      <c r="AD1042" s="115"/>
    </row>
    <row r="1043" spans="1:30" s="104" customFormat="1" ht="20.100000000000001" customHeight="1" x14ac:dyDescent="0.25">
      <c r="A1043" s="159"/>
      <c r="B1043" s="119" t="s">
        <v>2928</v>
      </c>
      <c r="C1043" s="440">
        <v>200000000</v>
      </c>
      <c r="D1043" s="829">
        <v>200000000</v>
      </c>
      <c r="E1043" s="276">
        <f>D1043/C1043*100</f>
        <v>100</v>
      </c>
      <c r="F1043" s="114">
        <f>+E1043</f>
        <v>100</v>
      </c>
      <c r="G1043" s="111"/>
      <c r="H1043" s="80"/>
      <c r="I1043" s="80"/>
      <c r="J1043" s="80"/>
      <c r="K1043" s="80"/>
      <c r="L1043" s="80"/>
      <c r="M1043" s="80"/>
      <c r="N1043" s="80"/>
      <c r="O1043" s="80"/>
      <c r="P1043" s="80"/>
      <c r="Q1043" s="80"/>
      <c r="R1043" s="80"/>
      <c r="S1043" s="80"/>
      <c r="T1043" s="80"/>
      <c r="U1043" s="80"/>
      <c r="V1043" s="80"/>
      <c r="W1043" s="80"/>
      <c r="X1043" s="80"/>
      <c r="Y1043" s="80"/>
      <c r="Z1043" s="80"/>
      <c r="AA1043" s="80"/>
      <c r="AB1043" s="80"/>
      <c r="AC1043" s="80"/>
      <c r="AD1043" s="80"/>
    </row>
    <row r="1044" spans="1:30" s="104" customFormat="1" ht="20.100000000000001" customHeight="1" x14ac:dyDescent="0.25">
      <c r="A1044" s="159"/>
      <c r="B1044" s="119" t="s">
        <v>2929</v>
      </c>
      <c r="C1044" s="440">
        <v>108980000</v>
      </c>
      <c r="D1044" s="829">
        <v>108880000</v>
      </c>
      <c r="E1044" s="276">
        <f t="shared" ref="E1044:E1086" si="78">D1044/C1044*100</f>
        <v>99.908240044044788</v>
      </c>
      <c r="F1044" s="114">
        <f t="shared" ref="F1044:F1086" si="79">+E1044</f>
        <v>99.908240044044788</v>
      </c>
      <c r="G1044" s="111"/>
      <c r="H1044" s="80"/>
      <c r="I1044" s="80"/>
      <c r="J1044" s="80"/>
      <c r="K1044" s="80"/>
      <c r="L1044" s="80"/>
      <c r="M1044" s="80"/>
      <c r="N1044" s="80"/>
      <c r="O1044" s="80"/>
      <c r="P1044" s="80"/>
      <c r="Q1044" s="80"/>
      <c r="R1044" s="80"/>
      <c r="S1044" s="80"/>
      <c r="T1044" s="80"/>
      <c r="U1044" s="80"/>
      <c r="V1044" s="80"/>
      <c r="W1044" s="80"/>
      <c r="X1044" s="80"/>
      <c r="Y1044" s="80"/>
      <c r="Z1044" s="80"/>
      <c r="AA1044" s="80"/>
      <c r="AB1044" s="80"/>
      <c r="AC1044" s="80"/>
      <c r="AD1044" s="80"/>
    </row>
    <row r="1045" spans="1:30" s="104" customFormat="1" ht="20.100000000000001" customHeight="1" x14ac:dyDescent="0.25">
      <c r="A1045" s="159"/>
      <c r="B1045" s="119" t="s">
        <v>2930</v>
      </c>
      <c r="C1045" s="440">
        <v>1859160000</v>
      </c>
      <c r="D1045" s="829">
        <v>1438642833</v>
      </c>
      <c r="E1045" s="276">
        <f t="shared" si="78"/>
        <v>77.381335280449235</v>
      </c>
      <c r="F1045" s="114">
        <f t="shared" si="79"/>
        <v>77.381335280449235</v>
      </c>
      <c r="G1045" s="111"/>
      <c r="H1045" s="80"/>
      <c r="I1045" s="80"/>
      <c r="J1045" s="80"/>
      <c r="K1045" s="80"/>
      <c r="L1045" s="80"/>
      <c r="M1045" s="80"/>
      <c r="N1045" s="80"/>
      <c r="O1045" s="80"/>
      <c r="P1045" s="80"/>
      <c r="Q1045" s="80"/>
      <c r="R1045" s="80"/>
      <c r="S1045" s="80"/>
      <c r="T1045" s="80"/>
      <c r="U1045" s="80"/>
      <c r="V1045" s="80"/>
      <c r="W1045" s="80"/>
      <c r="X1045" s="80"/>
      <c r="Y1045" s="80"/>
      <c r="Z1045" s="80"/>
      <c r="AA1045" s="80"/>
      <c r="AB1045" s="80"/>
      <c r="AC1045" s="80"/>
      <c r="AD1045" s="80"/>
    </row>
    <row r="1046" spans="1:30" s="104" customFormat="1" ht="20.100000000000001" customHeight="1" x14ac:dyDescent="0.25">
      <c r="A1046" s="159"/>
      <c r="B1046" s="119" t="s">
        <v>2931</v>
      </c>
      <c r="C1046" s="440">
        <v>570000000</v>
      </c>
      <c r="D1046" s="829">
        <v>559200000</v>
      </c>
      <c r="E1046" s="276">
        <f t="shared" si="78"/>
        <v>98.10526315789474</v>
      </c>
      <c r="F1046" s="114">
        <f t="shared" si="79"/>
        <v>98.10526315789474</v>
      </c>
      <c r="G1046" s="111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  <c r="R1046" s="80"/>
      <c r="S1046" s="80"/>
      <c r="T1046" s="80"/>
      <c r="U1046" s="80"/>
      <c r="V1046" s="80"/>
      <c r="W1046" s="80"/>
      <c r="X1046" s="80"/>
      <c r="Y1046" s="80"/>
      <c r="Z1046" s="80"/>
      <c r="AA1046" s="80"/>
      <c r="AB1046" s="80"/>
      <c r="AC1046" s="80"/>
      <c r="AD1046" s="80"/>
    </row>
    <row r="1047" spans="1:30" s="104" customFormat="1" ht="20.100000000000001" customHeight="1" x14ac:dyDescent="0.25">
      <c r="A1047" s="159"/>
      <c r="B1047" s="119" t="s">
        <v>2932</v>
      </c>
      <c r="C1047" s="440">
        <v>255780000</v>
      </c>
      <c r="D1047" s="829">
        <v>249350000</v>
      </c>
      <c r="E1047" s="276">
        <f t="shared" si="78"/>
        <v>97.486120885135662</v>
      </c>
      <c r="F1047" s="114">
        <f t="shared" si="79"/>
        <v>97.486120885135662</v>
      </c>
      <c r="G1047" s="111"/>
      <c r="H1047" s="80"/>
      <c r="I1047" s="80"/>
      <c r="J1047" s="80"/>
      <c r="K1047" s="80"/>
      <c r="L1047" s="80"/>
      <c r="M1047" s="80"/>
      <c r="N1047" s="80"/>
      <c r="O1047" s="80"/>
      <c r="P1047" s="80"/>
      <c r="Q1047" s="80"/>
      <c r="R1047" s="80"/>
      <c r="S1047" s="80"/>
      <c r="T1047" s="80"/>
      <c r="U1047" s="80"/>
      <c r="V1047" s="80"/>
      <c r="W1047" s="80"/>
      <c r="X1047" s="80"/>
      <c r="Y1047" s="80"/>
      <c r="Z1047" s="80"/>
      <c r="AA1047" s="80"/>
      <c r="AB1047" s="80"/>
      <c r="AC1047" s="80"/>
      <c r="AD1047" s="80"/>
    </row>
    <row r="1048" spans="1:30" s="104" customFormat="1" ht="20.100000000000001" customHeight="1" x14ac:dyDescent="0.25">
      <c r="A1048" s="159"/>
      <c r="B1048" s="119" t="s">
        <v>2933</v>
      </c>
      <c r="C1048" s="440">
        <v>790900000</v>
      </c>
      <c r="D1048" s="829">
        <v>697800000</v>
      </c>
      <c r="E1048" s="276">
        <f t="shared" si="78"/>
        <v>88.228600328739418</v>
      </c>
      <c r="F1048" s="114">
        <f t="shared" si="79"/>
        <v>88.228600328739418</v>
      </c>
      <c r="G1048" s="111"/>
      <c r="H1048" s="80"/>
      <c r="I1048" s="80"/>
      <c r="J1048" s="80"/>
      <c r="K1048" s="80"/>
      <c r="L1048" s="80"/>
      <c r="M1048" s="80"/>
      <c r="N1048" s="80"/>
      <c r="O1048" s="80"/>
      <c r="P1048" s="80"/>
      <c r="Q1048" s="80"/>
      <c r="R1048" s="80"/>
      <c r="S1048" s="80"/>
      <c r="T1048" s="80"/>
      <c r="U1048" s="80"/>
      <c r="V1048" s="80"/>
      <c r="W1048" s="80"/>
      <c r="X1048" s="80"/>
      <c r="Y1048" s="80"/>
      <c r="Z1048" s="80"/>
      <c r="AA1048" s="80"/>
      <c r="AB1048" s="80"/>
      <c r="AC1048" s="80"/>
      <c r="AD1048" s="80"/>
    </row>
    <row r="1049" spans="1:30" s="104" customFormat="1" ht="20.100000000000001" customHeight="1" x14ac:dyDescent="0.25">
      <c r="A1049" s="159"/>
      <c r="B1049" s="119" t="s">
        <v>2934</v>
      </c>
      <c r="C1049" s="440">
        <v>1000000000</v>
      </c>
      <c r="D1049" s="829">
        <v>998196000</v>
      </c>
      <c r="E1049" s="276">
        <f t="shared" si="78"/>
        <v>99.819599999999994</v>
      </c>
      <c r="F1049" s="114">
        <f t="shared" si="79"/>
        <v>99.819599999999994</v>
      </c>
      <c r="G1049" s="111"/>
      <c r="H1049" s="80"/>
      <c r="I1049" s="80"/>
      <c r="J1049" s="80"/>
      <c r="K1049" s="80"/>
      <c r="L1049" s="80"/>
      <c r="M1049" s="80"/>
      <c r="N1049" s="80"/>
      <c r="O1049" s="80"/>
      <c r="P1049" s="80"/>
      <c r="Q1049" s="80"/>
      <c r="R1049" s="80"/>
      <c r="S1049" s="80"/>
      <c r="T1049" s="80"/>
      <c r="U1049" s="80"/>
      <c r="V1049" s="80"/>
      <c r="W1049" s="80"/>
      <c r="X1049" s="80"/>
      <c r="Y1049" s="80"/>
      <c r="Z1049" s="80"/>
      <c r="AA1049" s="80"/>
      <c r="AB1049" s="80"/>
      <c r="AC1049" s="80"/>
      <c r="AD1049" s="80"/>
    </row>
    <row r="1050" spans="1:30" s="104" customFormat="1" ht="20.100000000000001" customHeight="1" x14ac:dyDescent="0.25">
      <c r="A1050" s="159"/>
      <c r="B1050" s="119" t="s">
        <v>2935</v>
      </c>
      <c r="C1050" s="440">
        <v>263364000</v>
      </c>
      <c r="D1050" s="829">
        <v>0</v>
      </c>
      <c r="E1050" s="276"/>
      <c r="F1050" s="114"/>
      <c r="G1050" s="111"/>
      <c r="H1050" s="80"/>
      <c r="I1050" s="80"/>
      <c r="J1050" s="80"/>
      <c r="K1050" s="80"/>
      <c r="L1050" s="80"/>
      <c r="M1050" s="80"/>
      <c r="N1050" s="80"/>
      <c r="O1050" s="80"/>
      <c r="P1050" s="80"/>
      <c r="Q1050" s="80"/>
      <c r="R1050" s="80"/>
      <c r="S1050" s="80"/>
      <c r="T1050" s="80"/>
      <c r="U1050" s="80"/>
      <c r="V1050" s="80"/>
      <c r="W1050" s="80"/>
      <c r="X1050" s="80"/>
      <c r="Y1050" s="80"/>
      <c r="Z1050" s="80"/>
      <c r="AA1050" s="80"/>
      <c r="AB1050" s="80"/>
      <c r="AC1050" s="80"/>
      <c r="AD1050" s="80"/>
    </row>
    <row r="1051" spans="1:30" s="105" customFormat="1" ht="20.100000000000001" customHeight="1" x14ac:dyDescent="0.25">
      <c r="A1051" s="159"/>
      <c r="B1051" s="249" t="s">
        <v>680</v>
      </c>
      <c r="C1051" s="441">
        <f>SUM(C1052:C1073)</f>
        <v>13435023400</v>
      </c>
      <c r="D1051" s="828">
        <f>SUM(D1052:D1073)</f>
        <v>12180188118</v>
      </c>
      <c r="E1051" s="297">
        <f t="shared" si="78"/>
        <v>90.659969509245514</v>
      </c>
      <c r="F1051" s="114">
        <f t="shared" si="79"/>
        <v>90.659969509245514</v>
      </c>
      <c r="G1051" s="121"/>
      <c r="H1051" s="115"/>
      <c r="I1051" s="115"/>
      <c r="J1051" s="115"/>
      <c r="K1051" s="115"/>
      <c r="L1051" s="115"/>
      <c r="M1051" s="115"/>
      <c r="N1051" s="115"/>
      <c r="O1051" s="115"/>
      <c r="P1051" s="115"/>
      <c r="Q1051" s="115"/>
      <c r="R1051" s="115"/>
      <c r="S1051" s="115"/>
      <c r="T1051" s="115"/>
      <c r="U1051" s="115"/>
      <c r="V1051" s="115"/>
      <c r="W1051" s="115"/>
      <c r="X1051" s="115"/>
      <c r="Y1051" s="115"/>
      <c r="Z1051" s="115"/>
      <c r="AA1051" s="115"/>
      <c r="AB1051" s="115"/>
      <c r="AC1051" s="115"/>
      <c r="AD1051" s="115"/>
    </row>
    <row r="1052" spans="1:30" s="104" customFormat="1" ht="20.100000000000001" customHeight="1" x14ac:dyDescent="0.25">
      <c r="A1052" s="159"/>
      <c r="B1052" s="119" t="s">
        <v>2936</v>
      </c>
      <c r="C1052" s="440">
        <v>293608200</v>
      </c>
      <c r="D1052" s="829">
        <v>99508200</v>
      </c>
      <c r="E1052" s="276">
        <f t="shared" si="78"/>
        <v>33.891492131350553</v>
      </c>
      <c r="F1052" s="114">
        <f t="shared" si="79"/>
        <v>33.891492131350553</v>
      </c>
      <c r="G1052" s="111"/>
      <c r="H1052" s="80"/>
      <c r="I1052" s="80"/>
      <c r="J1052" s="80"/>
      <c r="K1052" s="80"/>
      <c r="L1052" s="80"/>
      <c r="M1052" s="80"/>
      <c r="N1052" s="80"/>
      <c r="O1052" s="80"/>
      <c r="P1052" s="80"/>
      <c r="Q1052" s="80"/>
      <c r="R1052" s="80"/>
      <c r="S1052" s="80"/>
      <c r="T1052" s="80"/>
      <c r="U1052" s="80"/>
      <c r="V1052" s="80"/>
      <c r="W1052" s="80"/>
      <c r="X1052" s="80"/>
      <c r="Y1052" s="80"/>
      <c r="Z1052" s="80"/>
      <c r="AA1052" s="80"/>
      <c r="AB1052" s="80"/>
      <c r="AC1052" s="80"/>
      <c r="AD1052" s="80"/>
    </row>
    <row r="1053" spans="1:30" s="104" customFormat="1" ht="20.100000000000001" customHeight="1" x14ac:dyDescent="0.25">
      <c r="A1053" s="159"/>
      <c r="B1053" s="119" t="s">
        <v>2937</v>
      </c>
      <c r="C1053" s="440">
        <v>209000000</v>
      </c>
      <c r="D1053" s="829">
        <v>4000000</v>
      </c>
      <c r="E1053" s="276">
        <f t="shared" si="78"/>
        <v>1.9138755980861244</v>
      </c>
      <c r="F1053" s="114">
        <f t="shared" si="79"/>
        <v>1.9138755980861244</v>
      </c>
      <c r="G1053" s="111"/>
      <c r="H1053" s="80"/>
      <c r="I1053" s="80"/>
      <c r="J1053" s="80"/>
      <c r="K1053" s="80"/>
      <c r="L1053" s="80"/>
      <c r="M1053" s="80"/>
      <c r="N1053" s="80"/>
      <c r="O1053" s="80"/>
      <c r="P1053" s="80"/>
      <c r="Q1053" s="80"/>
      <c r="R1053" s="80"/>
      <c r="S1053" s="80"/>
      <c r="T1053" s="80"/>
      <c r="U1053" s="80"/>
      <c r="V1053" s="80"/>
      <c r="W1053" s="80"/>
      <c r="X1053" s="80"/>
      <c r="Y1053" s="80"/>
      <c r="Z1053" s="80"/>
      <c r="AA1053" s="80"/>
      <c r="AB1053" s="80"/>
      <c r="AC1053" s="80"/>
      <c r="AD1053" s="80"/>
    </row>
    <row r="1054" spans="1:30" s="104" customFormat="1" ht="20.100000000000001" customHeight="1" x14ac:dyDescent="0.25">
      <c r="A1054" s="159"/>
      <c r="B1054" s="119" t="s">
        <v>2938</v>
      </c>
      <c r="C1054" s="440">
        <v>200000000</v>
      </c>
      <c r="D1054" s="829">
        <v>3200000</v>
      </c>
      <c r="E1054" s="276">
        <f t="shared" si="78"/>
        <v>1.6</v>
      </c>
      <c r="F1054" s="114">
        <f t="shared" si="79"/>
        <v>1.6</v>
      </c>
      <c r="G1054" s="111"/>
      <c r="H1054" s="80"/>
      <c r="I1054" s="80"/>
      <c r="J1054" s="80"/>
      <c r="K1054" s="80"/>
      <c r="L1054" s="80"/>
      <c r="M1054" s="80"/>
      <c r="N1054" s="80"/>
      <c r="O1054" s="80"/>
      <c r="P1054" s="80"/>
      <c r="Q1054" s="80"/>
      <c r="R1054" s="80"/>
      <c r="S1054" s="80"/>
      <c r="T1054" s="80"/>
      <c r="U1054" s="80"/>
      <c r="V1054" s="80"/>
      <c r="W1054" s="80"/>
      <c r="X1054" s="80"/>
      <c r="Y1054" s="80"/>
      <c r="Z1054" s="80"/>
      <c r="AA1054" s="80"/>
      <c r="AB1054" s="80"/>
      <c r="AC1054" s="80"/>
      <c r="AD1054" s="80"/>
    </row>
    <row r="1055" spans="1:30" s="104" customFormat="1" ht="20.100000000000001" customHeight="1" x14ac:dyDescent="0.25">
      <c r="A1055" s="159"/>
      <c r="B1055" s="119" t="s">
        <v>2939</v>
      </c>
      <c r="C1055" s="440">
        <v>290750000</v>
      </c>
      <c r="D1055" s="829">
        <v>290745000</v>
      </c>
      <c r="E1055" s="276">
        <f t="shared" si="78"/>
        <v>99.998280309544285</v>
      </c>
      <c r="F1055" s="114">
        <f t="shared" si="79"/>
        <v>99.998280309544285</v>
      </c>
      <c r="G1055" s="111"/>
      <c r="H1055" s="80"/>
      <c r="I1055" s="80"/>
      <c r="J1055" s="80"/>
      <c r="K1055" s="80"/>
      <c r="L1055" s="80"/>
      <c r="M1055" s="80"/>
      <c r="N1055" s="80"/>
      <c r="O1055" s="80"/>
      <c r="P1055" s="80"/>
      <c r="Q1055" s="80"/>
      <c r="R1055" s="80"/>
      <c r="S1055" s="80"/>
      <c r="T1055" s="80"/>
      <c r="U1055" s="80"/>
      <c r="V1055" s="80"/>
      <c r="W1055" s="80"/>
      <c r="X1055" s="80"/>
      <c r="Y1055" s="80"/>
      <c r="Z1055" s="80"/>
      <c r="AA1055" s="80"/>
      <c r="AB1055" s="80"/>
      <c r="AC1055" s="80"/>
      <c r="AD1055" s="80"/>
    </row>
    <row r="1056" spans="1:30" s="104" customFormat="1" ht="20.100000000000001" customHeight="1" x14ac:dyDescent="0.25">
      <c r="A1056" s="159"/>
      <c r="B1056" s="119" t="s">
        <v>2940</v>
      </c>
      <c r="C1056" s="440">
        <v>1063800000</v>
      </c>
      <c r="D1056" s="829">
        <v>1042000000</v>
      </c>
      <c r="E1056" s="276">
        <f t="shared" si="78"/>
        <v>97.950742620793392</v>
      </c>
      <c r="F1056" s="114">
        <f t="shared" si="79"/>
        <v>97.950742620793392</v>
      </c>
      <c r="G1056" s="111"/>
      <c r="H1056" s="80"/>
      <c r="I1056" s="80"/>
      <c r="J1056" s="80"/>
      <c r="K1056" s="80"/>
      <c r="L1056" s="80"/>
      <c r="M1056" s="80"/>
      <c r="N1056" s="80"/>
      <c r="O1056" s="80"/>
      <c r="P1056" s="80"/>
      <c r="Q1056" s="80"/>
      <c r="R1056" s="80"/>
      <c r="S1056" s="80"/>
      <c r="T1056" s="80"/>
      <c r="U1056" s="80"/>
      <c r="V1056" s="80"/>
      <c r="W1056" s="80"/>
      <c r="X1056" s="80"/>
      <c r="Y1056" s="80"/>
      <c r="Z1056" s="80"/>
      <c r="AA1056" s="80"/>
      <c r="AB1056" s="80"/>
      <c r="AC1056" s="80"/>
      <c r="AD1056" s="80"/>
    </row>
    <row r="1057" spans="1:30" s="104" customFormat="1" ht="20.100000000000001" customHeight="1" x14ac:dyDescent="0.25">
      <c r="A1057" s="159"/>
      <c r="B1057" s="119" t="s">
        <v>2941</v>
      </c>
      <c r="C1057" s="440">
        <v>247750000</v>
      </c>
      <c r="D1057" s="829">
        <v>245335000</v>
      </c>
      <c r="E1057" s="276">
        <f t="shared" si="78"/>
        <v>99.025227043390515</v>
      </c>
      <c r="F1057" s="114">
        <f t="shared" si="79"/>
        <v>99.025227043390515</v>
      </c>
      <c r="G1057" s="111"/>
      <c r="H1057" s="80"/>
      <c r="I1057" s="80"/>
      <c r="J1057" s="80"/>
      <c r="K1057" s="80"/>
      <c r="L1057" s="80"/>
      <c r="M1057" s="80"/>
      <c r="N1057" s="80"/>
      <c r="O1057" s="80"/>
      <c r="P1057" s="80"/>
      <c r="Q1057" s="80"/>
      <c r="R1057" s="80"/>
      <c r="S1057" s="80"/>
      <c r="T1057" s="80"/>
      <c r="U1057" s="80"/>
      <c r="V1057" s="80"/>
      <c r="W1057" s="80"/>
      <c r="X1057" s="80"/>
      <c r="Y1057" s="80"/>
      <c r="Z1057" s="80"/>
      <c r="AA1057" s="80"/>
      <c r="AB1057" s="80"/>
      <c r="AC1057" s="80"/>
      <c r="AD1057" s="80"/>
    </row>
    <row r="1058" spans="1:30" s="104" customFormat="1" ht="20.100000000000001" customHeight="1" x14ac:dyDescent="0.25">
      <c r="A1058" s="159"/>
      <c r="B1058" s="119" t="s">
        <v>2942</v>
      </c>
      <c r="C1058" s="440">
        <v>889500000</v>
      </c>
      <c r="D1058" s="829">
        <v>878403568</v>
      </c>
      <c r="E1058" s="276">
        <f t="shared" si="78"/>
        <v>98.75250905002811</v>
      </c>
      <c r="F1058" s="114">
        <f t="shared" si="79"/>
        <v>98.75250905002811</v>
      </c>
      <c r="G1058" s="111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  <c r="R1058" s="80"/>
      <c r="S1058" s="80"/>
      <c r="T1058" s="80"/>
      <c r="U1058" s="80"/>
      <c r="V1058" s="80"/>
      <c r="W1058" s="80"/>
      <c r="X1058" s="80"/>
      <c r="Y1058" s="80"/>
      <c r="Z1058" s="80"/>
      <c r="AA1058" s="80"/>
      <c r="AB1058" s="80"/>
      <c r="AC1058" s="80"/>
      <c r="AD1058" s="80"/>
    </row>
    <row r="1059" spans="1:30" s="104" customFormat="1" ht="20.100000000000001" customHeight="1" x14ac:dyDescent="0.25">
      <c r="A1059" s="159"/>
      <c r="B1059" s="119" t="s">
        <v>2943</v>
      </c>
      <c r="C1059" s="440">
        <v>2275000000</v>
      </c>
      <c r="D1059" s="829">
        <v>2235750000</v>
      </c>
      <c r="E1059" s="276">
        <f t="shared" si="78"/>
        <v>98.27472527472527</v>
      </c>
      <c r="F1059" s="114">
        <f t="shared" si="79"/>
        <v>98.27472527472527</v>
      </c>
      <c r="G1059" s="111"/>
      <c r="H1059" s="80"/>
      <c r="I1059" s="80"/>
      <c r="J1059" s="80"/>
      <c r="K1059" s="80"/>
      <c r="L1059" s="80"/>
      <c r="M1059" s="80"/>
      <c r="N1059" s="80"/>
      <c r="O1059" s="80"/>
      <c r="P1059" s="80"/>
      <c r="Q1059" s="80"/>
      <c r="R1059" s="80"/>
      <c r="S1059" s="80"/>
      <c r="T1059" s="80"/>
      <c r="U1059" s="80"/>
      <c r="V1059" s="80"/>
      <c r="W1059" s="80"/>
      <c r="X1059" s="80"/>
      <c r="Y1059" s="80"/>
      <c r="Z1059" s="80"/>
      <c r="AA1059" s="80"/>
      <c r="AB1059" s="80"/>
      <c r="AC1059" s="80"/>
      <c r="AD1059" s="80"/>
    </row>
    <row r="1060" spans="1:30" s="104" customFormat="1" ht="20.100000000000001" customHeight="1" x14ac:dyDescent="0.25">
      <c r="A1060" s="159"/>
      <c r="B1060" s="119" t="s">
        <v>2944</v>
      </c>
      <c r="C1060" s="440">
        <v>258330000</v>
      </c>
      <c r="D1060" s="829">
        <v>131170000</v>
      </c>
      <c r="E1060" s="276">
        <f t="shared" si="78"/>
        <v>50.77613904695545</v>
      </c>
      <c r="F1060" s="114">
        <f t="shared" si="79"/>
        <v>50.77613904695545</v>
      </c>
      <c r="G1060" s="111"/>
      <c r="H1060" s="80"/>
      <c r="I1060" s="80"/>
      <c r="J1060" s="80"/>
      <c r="K1060" s="80"/>
      <c r="L1060" s="80"/>
      <c r="M1060" s="80"/>
      <c r="N1060" s="80"/>
      <c r="O1060" s="80"/>
      <c r="P1060" s="80"/>
      <c r="Q1060" s="80"/>
      <c r="R1060" s="80"/>
      <c r="S1060" s="80"/>
      <c r="T1060" s="80"/>
      <c r="U1060" s="80"/>
      <c r="V1060" s="80"/>
      <c r="W1060" s="80"/>
      <c r="X1060" s="80"/>
      <c r="Y1060" s="80"/>
      <c r="Z1060" s="80"/>
      <c r="AA1060" s="80"/>
      <c r="AB1060" s="80"/>
      <c r="AC1060" s="80"/>
      <c r="AD1060" s="80"/>
    </row>
    <row r="1061" spans="1:30" s="104" customFormat="1" ht="20.100000000000001" customHeight="1" x14ac:dyDescent="0.25">
      <c r="A1061" s="159"/>
      <c r="B1061" s="119" t="s">
        <v>2945</v>
      </c>
      <c r="C1061" s="440">
        <v>1000000000</v>
      </c>
      <c r="D1061" s="829">
        <v>617020000</v>
      </c>
      <c r="E1061" s="276">
        <f t="shared" si="78"/>
        <v>61.701999999999998</v>
      </c>
      <c r="F1061" s="114">
        <f t="shared" si="79"/>
        <v>61.701999999999998</v>
      </c>
      <c r="G1061" s="111"/>
      <c r="H1061" s="80"/>
      <c r="I1061" s="80"/>
      <c r="J1061" s="80"/>
      <c r="K1061" s="80"/>
      <c r="L1061" s="80"/>
      <c r="M1061" s="80"/>
      <c r="N1061" s="80"/>
      <c r="O1061" s="80"/>
      <c r="P1061" s="80"/>
      <c r="Q1061" s="80"/>
      <c r="R1061" s="80"/>
      <c r="S1061" s="80"/>
      <c r="T1061" s="80"/>
      <c r="U1061" s="80"/>
      <c r="V1061" s="80"/>
      <c r="W1061" s="80"/>
      <c r="X1061" s="80"/>
      <c r="Y1061" s="80"/>
      <c r="Z1061" s="80"/>
      <c r="AA1061" s="80"/>
      <c r="AB1061" s="80"/>
      <c r="AC1061" s="80"/>
      <c r="AD1061" s="80"/>
    </row>
    <row r="1062" spans="1:30" s="104" customFormat="1" ht="20.100000000000001" customHeight="1" x14ac:dyDescent="0.25">
      <c r="A1062" s="159"/>
      <c r="B1062" s="119" t="s">
        <v>2946</v>
      </c>
      <c r="C1062" s="440">
        <v>458120000</v>
      </c>
      <c r="D1062" s="829">
        <v>458120000</v>
      </c>
      <c r="E1062" s="276">
        <f t="shared" si="78"/>
        <v>100</v>
      </c>
      <c r="F1062" s="114">
        <f t="shared" si="79"/>
        <v>100</v>
      </c>
      <c r="G1062" s="111"/>
      <c r="H1062" s="80"/>
      <c r="I1062" s="80"/>
      <c r="J1062" s="80"/>
      <c r="K1062" s="80"/>
      <c r="L1062" s="80"/>
      <c r="M1062" s="80"/>
      <c r="N1062" s="80"/>
      <c r="O1062" s="80"/>
      <c r="P1062" s="80"/>
      <c r="Q1062" s="80"/>
      <c r="R1062" s="80"/>
      <c r="S1062" s="80"/>
      <c r="T1062" s="80"/>
      <c r="U1062" s="80"/>
      <c r="V1062" s="80"/>
      <c r="W1062" s="80"/>
      <c r="X1062" s="80"/>
      <c r="Y1062" s="80"/>
      <c r="Z1062" s="80"/>
      <c r="AA1062" s="80"/>
      <c r="AB1062" s="80"/>
      <c r="AC1062" s="80"/>
      <c r="AD1062" s="80"/>
    </row>
    <row r="1063" spans="1:30" s="104" customFormat="1" ht="20.100000000000001" customHeight="1" x14ac:dyDescent="0.25">
      <c r="A1063" s="159"/>
      <c r="B1063" s="119" t="s">
        <v>2947</v>
      </c>
      <c r="C1063" s="440">
        <v>430000000</v>
      </c>
      <c r="D1063" s="829">
        <v>430000000</v>
      </c>
      <c r="E1063" s="276">
        <f t="shared" si="78"/>
        <v>100</v>
      </c>
      <c r="F1063" s="114">
        <f t="shared" si="79"/>
        <v>100</v>
      </c>
      <c r="G1063" s="111"/>
      <c r="H1063" s="80"/>
      <c r="I1063" s="80"/>
      <c r="J1063" s="80"/>
      <c r="K1063" s="80"/>
      <c r="L1063" s="80"/>
      <c r="M1063" s="80"/>
      <c r="N1063" s="80"/>
      <c r="O1063" s="80"/>
      <c r="P1063" s="80"/>
      <c r="Q1063" s="80"/>
      <c r="R1063" s="80"/>
      <c r="S1063" s="80"/>
      <c r="T1063" s="80"/>
      <c r="U1063" s="80"/>
      <c r="V1063" s="80"/>
      <c r="W1063" s="80"/>
      <c r="X1063" s="80"/>
      <c r="Y1063" s="80"/>
      <c r="Z1063" s="80"/>
      <c r="AA1063" s="80"/>
      <c r="AB1063" s="80"/>
      <c r="AC1063" s="80"/>
      <c r="AD1063" s="80"/>
    </row>
    <row r="1064" spans="1:30" s="104" customFormat="1" ht="20.100000000000001" customHeight="1" x14ac:dyDescent="0.25">
      <c r="A1064" s="159"/>
      <c r="B1064" s="119" t="s">
        <v>2948</v>
      </c>
      <c r="C1064" s="440">
        <v>1485000000</v>
      </c>
      <c r="D1064" s="829">
        <v>1485000000</v>
      </c>
      <c r="E1064" s="276">
        <f t="shared" si="78"/>
        <v>100</v>
      </c>
      <c r="F1064" s="114">
        <f t="shared" si="79"/>
        <v>100</v>
      </c>
      <c r="G1064" s="111"/>
      <c r="H1064" s="80"/>
      <c r="I1064" s="80"/>
      <c r="J1064" s="80"/>
      <c r="K1064" s="80"/>
      <c r="L1064" s="80"/>
      <c r="M1064" s="80"/>
      <c r="N1064" s="80"/>
      <c r="O1064" s="80"/>
      <c r="P1064" s="80"/>
      <c r="Q1064" s="80"/>
      <c r="R1064" s="80"/>
      <c r="S1064" s="80"/>
      <c r="T1064" s="80"/>
      <c r="U1064" s="80"/>
      <c r="V1064" s="80"/>
      <c r="W1064" s="80"/>
      <c r="X1064" s="80"/>
      <c r="Y1064" s="80"/>
      <c r="Z1064" s="80"/>
      <c r="AA1064" s="80"/>
      <c r="AB1064" s="80"/>
      <c r="AC1064" s="80"/>
      <c r="AD1064" s="80"/>
    </row>
    <row r="1065" spans="1:30" s="104" customFormat="1" ht="20.100000000000001" customHeight="1" x14ac:dyDescent="0.25">
      <c r="A1065" s="159"/>
      <c r="B1065" s="119" t="s">
        <v>2949</v>
      </c>
      <c r="C1065" s="440">
        <v>1500000000</v>
      </c>
      <c r="D1065" s="829">
        <v>1500000000</v>
      </c>
      <c r="E1065" s="276">
        <f t="shared" si="78"/>
        <v>100</v>
      </c>
      <c r="F1065" s="114">
        <f t="shared" si="79"/>
        <v>100</v>
      </c>
      <c r="G1065" s="111"/>
      <c r="H1065" s="80"/>
      <c r="I1065" s="80"/>
      <c r="J1065" s="80"/>
      <c r="K1065" s="80"/>
      <c r="L1065" s="80"/>
      <c r="M1065" s="80"/>
      <c r="N1065" s="80"/>
      <c r="O1065" s="80"/>
      <c r="P1065" s="80"/>
      <c r="Q1065" s="80"/>
      <c r="R1065" s="80"/>
      <c r="S1065" s="80"/>
      <c r="T1065" s="80"/>
      <c r="U1065" s="80"/>
      <c r="V1065" s="80"/>
      <c r="W1065" s="80"/>
      <c r="X1065" s="80"/>
      <c r="Y1065" s="80"/>
      <c r="Z1065" s="80"/>
      <c r="AA1065" s="80"/>
      <c r="AB1065" s="80"/>
      <c r="AC1065" s="80"/>
      <c r="AD1065" s="80"/>
    </row>
    <row r="1066" spans="1:30" s="104" customFormat="1" ht="20.100000000000001" customHeight="1" x14ac:dyDescent="0.25">
      <c r="A1066" s="159"/>
      <c r="B1066" s="119" t="s">
        <v>2950</v>
      </c>
      <c r="C1066" s="440">
        <v>192500000</v>
      </c>
      <c r="D1066" s="829">
        <v>189670000</v>
      </c>
      <c r="E1066" s="276">
        <f t="shared" si="78"/>
        <v>98.529870129870133</v>
      </c>
      <c r="F1066" s="114">
        <f t="shared" si="79"/>
        <v>98.529870129870133</v>
      </c>
      <c r="G1066" s="111"/>
      <c r="H1066" s="80"/>
      <c r="I1066" s="80"/>
      <c r="J1066" s="80"/>
      <c r="K1066" s="80"/>
      <c r="L1066" s="80"/>
      <c r="M1066" s="80"/>
      <c r="N1066" s="80"/>
      <c r="O1066" s="80"/>
      <c r="P1066" s="80"/>
      <c r="Q1066" s="80"/>
      <c r="R1066" s="80"/>
      <c r="S1066" s="80"/>
      <c r="T1066" s="80"/>
      <c r="U1066" s="80"/>
      <c r="V1066" s="80"/>
      <c r="W1066" s="80"/>
      <c r="X1066" s="80"/>
      <c r="Y1066" s="80"/>
      <c r="Z1066" s="80"/>
      <c r="AA1066" s="80"/>
      <c r="AB1066" s="80"/>
      <c r="AC1066" s="80"/>
      <c r="AD1066" s="80"/>
    </row>
    <row r="1067" spans="1:30" s="104" customFormat="1" ht="20.100000000000001" customHeight="1" x14ac:dyDescent="0.25">
      <c r="A1067" s="159"/>
      <c r="B1067" s="119" t="s">
        <v>2951</v>
      </c>
      <c r="C1067" s="440">
        <v>101650000</v>
      </c>
      <c r="D1067" s="829">
        <v>101650000</v>
      </c>
      <c r="E1067" s="276">
        <f t="shared" si="78"/>
        <v>100</v>
      </c>
      <c r="F1067" s="114">
        <f t="shared" si="79"/>
        <v>100</v>
      </c>
      <c r="G1067" s="111"/>
      <c r="H1067" s="80"/>
      <c r="I1067" s="80"/>
      <c r="J1067" s="80"/>
      <c r="K1067" s="80"/>
      <c r="L1067" s="80"/>
      <c r="M1067" s="80"/>
      <c r="N1067" s="80"/>
      <c r="O1067" s="80"/>
      <c r="P1067" s="80"/>
      <c r="Q1067" s="80"/>
      <c r="R1067" s="80"/>
      <c r="S1067" s="80"/>
      <c r="T1067" s="80"/>
      <c r="U1067" s="80"/>
      <c r="V1067" s="80"/>
      <c r="W1067" s="80"/>
      <c r="X1067" s="80"/>
      <c r="Y1067" s="80"/>
      <c r="Z1067" s="80"/>
      <c r="AA1067" s="80"/>
      <c r="AB1067" s="80"/>
      <c r="AC1067" s="80"/>
      <c r="AD1067" s="80"/>
    </row>
    <row r="1068" spans="1:30" s="104" customFormat="1" ht="20.100000000000001" customHeight="1" x14ac:dyDescent="0.25">
      <c r="A1068" s="159"/>
      <c r="B1068" s="119" t="s">
        <v>2952</v>
      </c>
      <c r="C1068" s="440">
        <v>347532200</v>
      </c>
      <c r="D1068" s="829">
        <v>347317200</v>
      </c>
      <c r="E1068" s="276">
        <f t="shared" si="78"/>
        <v>99.938135228908294</v>
      </c>
      <c r="F1068" s="114">
        <f t="shared" si="79"/>
        <v>99.938135228908294</v>
      </c>
      <c r="G1068" s="111"/>
      <c r="H1068" s="80"/>
      <c r="I1068" s="80"/>
      <c r="J1068" s="80"/>
      <c r="K1068" s="80"/>
      <c r="L1068" s="80"/>
      <c r="M1068" s="80"/>
      <c r="N1068" s="80"/>
      <c r="O1068" s="80"/>
      <c r="P1068" s="80"/>
      <c r="Q1068" s="80"/>
      <c r="R1068" s="80"/>
      <c r="S1068" s="80"/>
      <c r="T1068" s="80"/>
      <c r="U1068" s="80"/>
      <c r="V1068" s="80"/>
      <c r="W1068" s="80"/>
      <c r="X1068" s="80"/>
      <c r="Y1068" s="80"/>
      <c r="Z1068" s="80"/>
      <c r="AA1068" s="80"/>
      <c r="AB1068" s="80"/>
      <c r="AC1068" s="80"/>
      <c r="AD1068" s="80"/>
    </row>
    <row r="1069" spans="1:30" s="104" customFormat="1" ht="20.100000000000001" customHeight="1" x14ac:dyDescent="0.25">
      <c r="A1069" s="159"/>
      <c r="B1069" s="119" t="s">
        <v>2953</v>
      </c>
      <c r="C1069" s="440">
        <v>192890000</v>
      </c>
      <c r="D1069" s="829">
        <v>169640000</v>
      </c>
      <c r="E1069" s="276">
        <f t="shared" si="78"/>
        <v>87.946498004043761</v>
      </c>
      <c r="F1069" s="114">
        <f t="shared" si="79"/>
        <v>87.946498004043761</v>
      </c>
      <c r="G1069" s="111"/>
      <c r="H1069" s="80"/>
      <c r="I1069" s="80"/>
      <c r="J1069" s="80"/>
      <c r="K1069" s="80"/>
      <c r="L1069" s="80"/>
      <c r="M1069" s="80"/>
      <c r="N1069" s="80"/>
      <c r="O1069" s="80"/>
      <c r="P1069" s="80"/>
      <c r="Q1069" s="80"/>
      <c r="R1069" s="80"/>
      <c r="S1069" s="80"/>
      <c r="T1069" s="80"/>
      <c r="U1069" s="80"/>
      <c r="V1069" s="80"/>
      <c r="W1069" s="80"/>
      <c r="X1069" s="80"/>
      <c r="Y1069" s="80"/>
      <c r="Z1069" s="80"/>
      <c r="AA1069" s="80"/>
      <c r="AB1069" s="80"/>
      <c r="AC1069" s="80"/>
      <c r="AD1069" s="80"/>
    </row>
    <row r="1070" spans="1:30" s="104" customFormat="1" ht="20.100000000000001" customHeight="1" x14ac:dyDescent="0.25">
      <c r="A1070" s="159"/>
      <c r="B1070" s="119" t="s">
        <v>2954</v>
      </c>
      <c r="C1070" s="440">
        <v>293650000</v>
      </c>
      <c r="D1070" s="829">
        <v>254746150</v>
      </c>
      <c r="E1070" s="276">
        <f t="shared" si="78"/>
        <v>86.751626085475905</v>
      </c>
      <c r="F1070" s="114">
        <f t="shared" si="79"/>
        <v>86.751626085475905</v>
      </c>
      <c r="G1070" s="111"/>
      <c r="H1070" s="80"/>
      <c r="I1070" s="80"/>
      <c r="J1070" s="80"/>
      <c r="K1070" s="80"/>
      <c r="L1070" s="80"/>
      <c r="M1070" s="80"/>
      <c r="N1070" s="80"/>
      <c r="O1070" s="80"/>
      <c r="P1070" s="80"/>
      <c r="Q1070" s="80"/>
      <c r="R1070" s="80"/>
      <c r="S1070" s="80"/>
      <c r="T1070" s="80"/>
      <c r="U1070" s="80"/>
      <c r="V1070" s="80"/>
      <c r="W1070" s="80"/>
      <c r="X1070" s="80"/>
      <c r="Y1070" s="80"/>
      <c r="Z1070" s="80"/>
      <c r="AA1070" s="80"/>
      <c r="AB1070" s="80"/>
      <c r="AC1070" s="80"/>
      <c r="AD1070" s="80"/>
    </row>
    <row r="1071" spans="1:30" s="104" customFormat="1" ht="20.100000000000001" customHeight="1" x14ac:dyDescent="0.25">
      <c r="A1071" s="159"/>
      <c r="B1071" s="119" t="s">
        <v>2955</v>
      </c>
      <c r="C1071" s="440">
        <v>352443000</v>
      </c>
      <c r="D1071" s="829">
        <v>343413000</v>
      </c>
      <c r="E1071" s="276">
        <f t="shared" si="78"/>
        <v>97.437883572662813</v>
      </c>
      <c r="F1071" s="114">
        <f t="shared" si="79"/>
        <v>97.437883572662813</v>
      </c>
      <c r="G1071" s="111"/>
      <c r="H1071" s="80"/>
      <c r="I1071" s="80"/>
      <c r="J1071" s="80"/>
      <c r="K1071" s="80"/>
      <c r="L1071" s="80"/>
      <c r="M1071" s="80"/>
      <c r="N1071" s="80"/>
      <c r="O1071" s="80"/>
      <c r="P1071" s="80"/>
      <c r="Q1071" s="80"/>
      <c r="R1071" s="80"/>
      <c r="S1071" s="80"/>
      <c r="T1071" s="80"/>
      <c r="U1071" s="80"/>
      <c r="V1071" s="80"/>
      <c r="W1071" s="80"/>
      <c r="X1071" s="80"/>
      <c r="Y1071" s="80"/>
      <c r="Z1071" s="80"/>
      <c r="AA1071" s="80"/>
      <c r="AB1071" s="80"/>
      <c r="AC1071" s="80"/>
      <c r="AD1071" s="80"/>
    </row>
    <row r="1072" spans="1:30" s="104" customFormat="1" ht="20.100000000000001" customHeight="1" x14ac:dyDescent="0.25">
      <c r="A1072" s="159"/>
      <c r="B1072" s="118" t="s">
        <v>2956</v>
      </c>
      <c r="C1072" s="440">
        <v>185000000</v>
      </c>
      <c r="D1072" s="829">
        <v>185000000</v>
      </c>
      <c r="E1072" s="276">
        <f t="shared" si="78"/>
        <v>100</v>
      </c>
      <c r="F1072" s="114">
        <f t="shared" si="79"/>
        <v>100</v>
      </c>
      <c r="G1072" s="111"/>
      <c r="H1072" s="80"/>
      <c r="I1072" s="80"/>
      <c r="J1072" s="80"/>
      <c r="K1072" s="80"/>
      <c r="L1072" s="80"/>
      <c r="M1072" s="80"/>
      <c r="N1072" s="80"/>
      <c r="O1072" s="80"/>
      <c r="P1072" s="80"/>
      <c r="Q1072" s="80"/>
      <c r="R1072" s="80"/>
      <c r="S1072" s="80"/>
      <c r="T1072" s="80"/>
      <c r="U1072" s="80"/>
      <c r="V1072" s="80"/>
      <c r="W1072" s="80"/>
      <c r="X1072" s="80"/>
      <c r="Y1072" s="80"/>
      <c r="Z1072" s="80"/>
      <c r="AA1072" s="80"/>
      <c r="AB1072" s="80"/>
      <c r="AC1072" s="80"/>
      <c r="AD1072" s="80"/>
    </row>
    <row r="1073" spans="1:30" s="104" customFormat="1" ht="20.100000000000001" customHeight="1" x14ac:dyDescent="0.25">
      <c r="A1073" s="159"/>
      <c r="B1073" s="118" t="s">
        <v>2957</v>
      </c>
      <c r="C1073" s="440">
        <v>1168500000</v>
      </c>
      <c r="D1073" s="829">
        <v>1168500000</v>
      </c>
      <c r="E1073" s="276">
        <f t="shared" si="78"/>
        <v>100</v>
      </c>
      <c r="F1073" s="114">
        <f t="shared" si="79"/>
        <v>100</v>
      </c>
      <c r="G1073" s="111"/>
      <c r="H1073" s="80"/>
      <c r="I1073" s="80"/>
      <c r="J1073" s="80"/>
      <c r="K1073" s="80"/>
      <c r="L1073" s="80"/>
      <c r="M1073" s="80"/>
      <c r="N1073" s="80"/>
      <c r="O1073" s="80"/>
      <c r="P1073" s="80"/>
      <c r="Q1073" s="80"/>
      <c r="R1073" s="80"/>
      <c r="S1073" s="80"/>
      <c r="T1073" s="80"/>
      <c r="U1073" s="80"/>
      <c r="V1073" s="80"/>
      <c r="W1073" s="80"/>
      <c r="X1073" s="80"/>
      <c r="Y1073" s="80"/>
      <c r="Z1073" s="80"/>
      <c r="AA1073" s="80"/>
      <c r="AB1073" s="80"/>
      <c r="AC1073" s="80"/>
      <c r="AD1073" s="80"/>
    </row>
    <row r="1074" spans="1:30" s="105" customFormat="1" ht="20.100000000000001" customHeight="1" x14ac:dyDescent="0.25">
      <c r="A1074" s="159"/>
      <c r="B1074" s="249" t="s">
        <v>693</v>
      </c>
      <c r="C1074" s="441">
        <f>SUM(C1075:C1080)</f>
        <v>3539773000</v>
      </c>
      <c r="D1074" s="828">
        <f>SUM(D1075:D1080)</f>
        <v>3211225000</v>
      </c>
      <c r="E1074" s="297">
        <f t="shared" si="78"/>
        <v>90.718387874024685</v>
      </c>
      <c r="F1074" s="114">
        <f t="shared" si="79"/>
        <v>90.718387874024685</v>
      </c>
      <c r="G1074" s="121"/>
      <c r="H1074" s="115"/>
      <c r="I1074" s="115"/>
      <c r="J1074" s="115"/>
      <c r="K1074" s="115"/>
      <c r="L1074" s="115"/>
      <c r="M1074" s="115"/>
      <c r="N1074" s="115"/>
      <c r="O1074" s="115"/>
      <c r="P1074" s="115"/>
      <c r="Q1074" s="115"/>
      <c r="R1074" s="115"/>
      <c r="S1074" s="115"/>
      <c r="T1074" s="115"/>
      <c r="U1074" s="115"/>
      <c r="V1074" s="115"/>
      <c r="W1074" s="115"/>
      <c r="X1074" s="115"/>
      <c r="Y1074" s="115"/>
      <c r="Z1074" s="115"/>
      <c r="AA1074" s="115"/>
      <c r="AB1074" s="115"/>
      <c r="AC1074" s="115"/>
      <c r="AD1074" s="115"/>
    </row>
    <row r="1075" spans="1:30" s="104" customFormat="1" ht="20.100000000000001" customHeight="1" x14ac:dyDescent="0.25">
      <c r="A1075" s="159"/>
      <c r="B1075" s="119" t="s">
        <v>2958</v>
      </c>
      <c r="C1075" s="440">
        <v>338098000</v>
      </c>
      <c r="D1075" s="829">
        <v>127000000</v>
      </c>
      <c r="E1075" s="276">
        <f t="shared" si="78"/>
        <v>37.563073428414242</v>
      </c>
      <c r="F1075" s="114">
        <f t="shared" si="79"/>
        <v>37.563073428414242</v>
      </c>
      <c r="G1075" s="111"/>
      <c r="H1075" s="80"/>
      <c r="I1075" s="80"/>
      <c r="J1075" s="80"/>
      <c r="K1075" s="80"/>
      <c r="L1075" s="80"/>
      <c r="M1075" s="80"/>
      <c r="N1075" s="80"/>
      <c r="O1075" s="80"/>
      <c r="P1075" s="80"/>
      <c r="Q1075" s="80"/>
      <c r="R1075" s="80"/>
      <c r="S1075" s="80"/>
      <c r="T1075" s="80"/>
      <c r="U1075" s="80"/>
      <c r="V1075" s="80"/>
      <c r="W1075" s="80"/>
      <c r="X1075" s="80"/>
      <c r="Y1075" s="80"/>
      <c r="Z1075" s="80"/>
      <c r="AA1075" s="80"/>
      <c r="AB1075" s="80"/>
      <c r="AC1075" s="80"/>
      <c r="AD1075" s="80"/>
    </row>
    <row r="1076" spans="1:30" s="104" customFormat="1" ht="20.100000000000001" customHeight="1" x14ac:dyDescent="0.25">
      <c r="A1076" s="159"/>
      <c r="B1076" s="119" t="s">
        <v>2959</v>
      </c>
      <c r="C1076" s="440">
        <v>419675000</v>
      </c>
      <c r="D1076" s="829">
        <v>419675000</v>
      </c>
      <c r="E1076" s="276">
        <f t="shared" si="78"/>
        <v>100</v>
      </c>
      <c r="F1076" s="114">
        <f t="shared" si="79"/>
        <v>100</v>
      </c>
      <c r="G1076" s="111"/>
      <c r="H1076" s="80"/>
      <c r="I1076" s="80"/>
      <c r="J1076" s="80"/>
      <c r="K1076" s="80"/>
      <c r="L1076" s="80"/>
      <c r="M1076" s="80"/>
      <c r="N1076" s="80"/>
      <c r="O1076" s="80"/>
      <c r="P1076" s="80"/>
      <c r="Q1076" s="80"/>
      <c r="R1076" s="80"/>
      <c r="S1076" s="80"/>
      <c r="T1076" s="80"/>
      <c r="U1076" s="80"/>
      <c r="V1076" s="80"/>
      <c r="W1076" s="80"/>
      <c r="X1076" s="80"/>
      <c r="Y1076" s="80"/>
      <c r="Z1076" s="80"/>
      <c r="AA1076" s="80"/>
      <c r="AB1076" s="80"/>
      <c r="AC1076" s="80"/>
      <c r="AD1076" s="80"/>
    </row>
    <row r="1077" spans="1:30" s="104" customFormat="1" ht="20.100000000000001" customHeight="1" x14ac:dyDescent="0.25">
      <c r="A1077" s="159"/>
      <c r="B1077" s="119" t="s">
        <v>2960</v>
      </c>
      <c r="C1077" s="440">
        <v>745000000</v>
      </c>
      <c r="D1077" s="829">
        <v>737550000</v>
      </c>
      <c r="E1077" s="276">
        <f t="shared" si="78"/>
        <v>99</v>
      </c>
      <c r="F1077" s="114">
        <f t="shared" si="79"/>
        <v>99</v>
      </c>
      <c r="G1077" s="111"/>
      <c r="H1077" s="80"/>
      <c r="I1077" s="80"/>
      <c r="J1077" s="80"/>
      <c r="K1077" s="80"/>
      <c r="L1077" s="80"/>
      <c r="M1077" s="80"/>
      <c r="N1077" s="80"/>
      <c r="O1077" s="80"/>
      <c r="P1077" s="80"/>
      <c r="Q1077" s="80"/>
      <c r="R1077" s="80"/>
      <c r="S1077" s="80"/>
      <c r="T1077" s="80"/>
      <c r="U1077" s="80"/>
      <c r="V1077" s="80"/>
      <c r="W1077" s="80"/>
      <c r="X1077" s="80"/>
      <c r="Y1077" s="80"/>
      <c r="Z1077" s="80"/>
      <c r="AA1077" s="80"/>
      <c r="AB1077" s="80"/>
      <c r="AC1077" s="80"/>
      <c r="AD1077" s="80"/>
    </row>
    <row r="1078" spans="1:30" s="104" customFormat="1" ht="20.100000000000001" customHeight="1" x14ac:dyDescent="0.25">
      <c r="A1078" s="159"/>
      <c r="B1078" s="119" t="s">
        <v>2961</v>
      </c>
      <c r="C1078" s="440">
        <v>745000000</v>
      </c>
      <c r="D1078" s="829">
        <v>745000000</v>
      </c>
      <c r="E1078" s="276">
        <f t="shared" si="78"/>
        <v>100</v>
      </c>
      <c r="F1078" s="114">
        <f t="shared" si="79"/>
        <v>100</v>
      </c>
      <c r="G1078" s="111"/>
      <c r="H1078" s="80"/>
      <c r="I1078" s="80"/>
      <c r="J1078" s="80"/>
      <c r="K1078" s="80"/>
      <c r="L1078" s="80"/>
      <c r="M1078" s="80"/>
      <c r="N1078" s="80"/>
      <c r="O1078" s="80"/>
      <c r="P1078" s="80"/>
      <c r="Q1078" s="80"/>
      <c r="R1078" s="80"/>
      <c r="S1078" s="80"/>
      <c r="T1078" s="80"/>
      <c r="U1078" s="80"/>
      <c r="V1078" s="80"/>
      <c r="W1078" s="80"/>
      <c r="X1078" s="80"/>
      <c r="Y1078" s="80"/>
      <c r="Z1078" s="80"/>
      <c r="AA1078" s="80"/>
      <c r="AB1078" s="80"/>
      <c r="AC1078" s="80"/>
      <c r="AD1078" s="80"/>
    </row>
    <row r="1079" spans="1:30" s="104" customFormat="1" ht="20.100000000000001" customHeight="1" x14ac:dyDescent="0.25">
      <c r="A1079" s="159"/>
      <c r="B1079" s="119" t="s">
        <v>2962</v>
      </c>
      <c r="C1079" s="440">
        <v>920000000</v>
      </c>
      <c r="D1079" s="829">
        <v>835000000</v>
      </c>
      <c r="E1079" s="276">
        <f t="shared" si="78"/>
        <v>90.760869565217391</v>
      </c>
      <c r="F1079" s="114">
        <f t="shared" si="79"/>
        <v>90.760869565217391</v>
      </c>
      <c r="G1079" s="111"/>
      <c r="H1079" s="80"/>
      <c r="I1079" s="80"/>
      <c r="J1079" s="80"/>
      <c r="K1079" s="80"/>
      <c r="L1079" s="80"/>
      <c r="M1079" s="80"/>
      <c r="N1079" s="80"/>
      <c r="O1079" s="80"/>
      <c r="P1079" s="80"/>
      <c r="Q1079" s="80"/>
      <c r="R1079" s="80"/>
      <c r="S1079" s="80"/>
      <c r="T1079" s="80"/>
      <c r="U1079" s="80"/>
      <c r="V1079" s="80"/>
      <c r="W1079" s="80"/>
      <c r="X1079" s="80"/>
      <c r="Y1079" s="80"/>
      <c r="Z1079" s="80"/>
      <c r="AA1079" s="80"/>
      <c r="AB1079" s="80"/>
      <c r="AC1079" s="80"/>
      <c r="AD1079" s="80"/>
    </row>
    <row r="1080" spans="1:30" s="104" customFormat="1" ht="20.100000000000001" customHeight="1" x14ac:dyDescent="0.25">
      <c r="A1080" s="159"/>
      <c r="B1080" s="119" t="s">
        <v>2963</v>
      </c>
      <c r="C1080" s="440">
        <v>372000000</v>
      </c>
      <c r="D1080" s="829">
        <v>347000000</v>
      </c>
      <c r="E1080" s="276">
        <f t="shared" si="78"/>
        <v>93.27956989247312</v>
      </c>
      <c r="F1080" s="114">
        <f t="shared" si="79"/>
        <v>93.27956989247312</v>
      </c>
      <c r="G1080" s="111"/>
      <c r="H1080" s="80"/>
      <c r="I1080" s="80"/>
      <c r="J1080" s="80"/>
      <c r="K1080" s="80"/>
      <c r="L1080" s="80"/>
      <c r="M1080" s="80"/>
      <c r="N1080" s="80"/>
      <c r="O1080" s="80"/>
      <c r="P1080" s="80"/>
      <c r="Q1080" s="80"/>
      <c r="R1080" s="80"/>
      <c r="S1080" s="80"/>
      <c r="T1080" s="80"/>
      <c r="U1080" s="80"/>
      <c r="V1080" s="80"/>
      <c r="W1080" s="80"/>
      <c r="X1080" s="80"/>
      <c r="Y1080" s="80"/>
      <c r="Z1080" s="80"/>
      <c r="AA1080" s="80"/>
      <c r="AB1080" s="80"/>
      <c r="AC1080" s="80"/>
      <c r="AD1080" s="80"/>
    </row>
    <row r="1081" spans="1:30" s="104" customFormat="1" ht="20.100000000000001" customHeight="1" x14ac:dyDescent="0.25">
      <c r="A1081" s="159"/>
      <c r="B1081" s="249" t="s">
        <v>92</v>
      </c>
      <c r="C1081" s="441">
        <v>155550000</v>
      </c>
      <c r="D1081" s="828">
        <f>+D1082</f>
        <v>155550000</v>
      </c>
      <c r="E1081" s="297">
        <f t="shared" si="78"/>
        <v>100</v>
      </c>
      <c r="F1081" s="114">
        <f t="shared" si="79"/>
        <v>100</v>
      </c>
      <c r="G1081" s="111"/>
      <c r="H1081" s="80"/>
      <c r="I1081" s="80"/>
      <c r="J1081" s="80"/>
      <c r="K1081" s="80"/>
      <c r="L1081" s="80"/>
      <c r="M1081" s="80"/>
      <c r="N1081" s="80"/>
      <c r="O1081" s="80"/>
      <c r="P1081" s="80"/>
      <c r="Q1081" s="80"/>
      <c r="R1081" s="80"/>
      <c r="S1081" s="80"/>
      <c r="T1081" s="80"/>
      <c r="U1081" s="80"/>
      <c r="V1081" s="80"/>
      <c r="W1081" s="80"/>
      <c r="X1081" s="80"/>
      <c r="Y1081" s="80"/>
      <c r="Z1081" s="80"/>
      <c r="AA1081" s="80"/>
      <c r="AB1081" s="80"/>
      <c r="AC1081" s="80"/>
      <c r="AD1081" s="80"/>
    </row>
    <row r="1082" spans="1:30" s="104" customFormat="1" ht="20.100000000000001" customHeight="1" x14ac:dyDescent="0.25">
      <c r="A1082" s="159"/>
      <c r="B1082" s="119" t="s">
        <v>2964</v>
      </c>
      <c r="C1082" s="440">
        <v>155550000</v>
      </c>
      <c r="D1082" s="829">
        <v>155550000</v>
      </c>
      <c r="E1082" s="276">
        <f t="shared" si="78"/>
        <v>100</v>
      </c>
      <c r="F1082" s="114">
        <f t="shared" si="79"/>
        <v>100</v>
      </c>
      <c r="G1082" s="111"/>
      <c r="H1082" s="80"/>
      <c r="I1082" s="80"/>
      <c r="J1082" s="80"/>
      <c r="K1082" s="80"/>
      <c r="L1082" s="80"/>
      <c r="M1082" s="80"/>
      <c r="N1082" s="80"/>
      <c r="O1082" s="80"/>
      <c r="P1082" s="80"/>
      <c r="Q1082" s="80"/>
      <c r="R1082" s="80"/>
      <c r="S1082" s="80"/>
      <c r="T1082" s="80"/>
      <c r="U1082" s="80"/>
      <c r="V1082" s="80"/>
      <c r="W1082" s="80"/>
      <c r="X1082" s="80"/>
      <c r="Y1082" s="80"/>
      <c r="Z1082" s="80"/>
      <c r="AA1082" s="80"/>
      <c r="AB1082" s="80"/>
      <c r="AC1082" s="80"/>
      <c r="AD1082" s="80"/>
    </row>
    <row r="1083" spans="1:30" s="105" customFormat="1" ht="20.100000000000001" customHeight="1" x14ac:dyDescent="0.25">
      <c r="A1083" s="159"/>
      <c r="B1083" s="249" t="s">
        <v>100</v>
      </c>
      <c r="C1083" s="441">
        <v>3498000000</v>
      </c>
      <c r="D1083" s="828">
        <f>+D1084</f>
        <v>3093221968</v>
      </c>
      <c r="E1083" s="297">
        <f t="shared" si="78"/>
        <v>88.428300971983987</v>
      </c>
      <c r="F1083" s="114">
        <f t="shared" si="79"/>
        <v>88.428300971983987</v>
      </c>
      <c r="G1083" s="121"/>
      <c r="H1083" s="115"/>
      <c r="I1083" s="115"/>
      <c r="J1083" s="115"/>
      <c r="K1083" s="115"/>
      <c r="L1083" s="115"/>
      <c r="M1083" s="115"/>
      <c r="N1083" s="115"/>
      <c r="O1083" s="115"/>
      <c r="P1083" s="115"/>
      <c r="Q1083" s="115"/>
      <c r="R1083" s="115"/>
      <c r="S1083" s="115"/>
      <c r="T1083" s="115"/>
      <c r="U1083" s="115"/>
      <c r="V1083" s="115"/>
      <c r="W1083" s="115"/>
      <c r="X1083" s="115"/>
      <c r="Y1083" s="115"/>
      <c r="Z1083" s="115"/>
      <c r="AA1083" s="115"/>
      <c r="AB1083" s="115"/>
      <c r="AC1083" s="115"/>
      <c r="AD1083" s="115"/>
    </row>
    <row r="1084" spans="1:30" s="104" customFormat="1" ht="20.100000000000001" customHeight="1" x14ac:dyDescent="0.25">
      <c r="A1084" s="159"/>
      <c r="B1084" s="119" t="s">
        <v>2965</v>
      </c>
      <c r="C1084" s="440">
        <v>3498000000</v>
      </c>
      <c r="D1084" s="829">
        <v>3093221968</v>
      </c>
      <c r="E1084" s="276">
        <f t="shared" si="78"/>
        <v>88.428300971983987</v>
      </c>
      <c r="F1084" s="114">
        <f t="shared" si="79"/>
        <v>88.428300971983987</v>
      </c>
      <c r="G1084" s="111"/>
      <c r="H1084" s="80"/>
      <c r="I1084" s="80"/>
      <c r="J1084" s="80"/>
      <c r="K1084" s="80"/>
      <c r="L1084" s="80"/>
      <c r="M1084" s="80"/>
      <c r="N1084" s="80"/>
      <c r="O1084" s="80"/>
      <c r="P1084" s="80"/>
      <c r="Q1084" s="80"/>
      <c r="R1084" s="80"/>
      <c r="S1084" s="80"/>
      <c r="T1084" s="80"/>
      <c r="U1084" s="80"/>
      <c r="V1084" s="80"/>
      <c r="W1084" s="80"/>
      <c r="X1084" s="80"/>
      <c r="Y1084" s="80"/>
      <c r="Z1084" s="80"/>
      <c r="AA1084" s="80"/>
      <c r="AB1084" s="80"/>
      <c r="AC1084" s="80"/>
      <c r="AD1084" s="80"/>
    </row>
    <row r="1085" spans="1:30" s="104" customFormat="1" ht="20.100000000000001" customHeight="1" x14ac:dyDescent="0.25">
      <c r="A1085" s="159"/>
      <c r="B1085" s="249" t="s">
        <v>109</v>
      </c>
      <c r="C1085" s="441">
        <v>277502800</v>
      </c>
      <c r="D1085" s="828">
        <f>+D1086</f>
        <v>277502800</v>
      </c>
      <c r="E1085" s="297">
        <f t="shared" si="78"/>
        <v>100</v>
      </c>
      <c r="F1085" s="114">
        <f t="shared" si="79"/>
        <v>100</v>
      </c>
      <c r="G1085" s="111"/>
      <c r="H1085" s="80"/>
      <c r="I1085" s="80"/>
      <c r="J1085" s="80"/>
      <c r="K1085" s="80"/>
      <c r="L1085" s="80"/>
      <c r="M1085" s="80"/>
      <c r="N1085" s="80"/>
      <c r="O1085" s="80"/>
      <c r="P1085" s="80"/>
      <c r="Q1085" s="80"/>
      <c r="R1085" s="80"/>
      <c r="S1085" s="80"/>
      <c r="T1085" s="80"/>
      <c r="U1085" s="80"/>
      <c r="V1085" s="80"/>
      <c r="W1085" s="80"/>
      <c r="X1085" s="80"/>
      <c r="Y1085" s="80"/>
      <c r="Z1085" s="80"/>
      <c r="AA1085" s="80"/>
      <c r="AB1085" s="80"/>
      <c r="AC1085" s="80"/>
      <c r="AD1085" s="80"/>
    </row>
    <row r="1086" spans="1:30" s="104" customFormat="1" ht="20.100000000000001" customHeight="1" x14ac:dyDescent="0.25">
      <c r="A1086" s="159"/>
      <c r="B1086" s="119" t="s">
        <v>2966</v>
      </c>
      <c r="C1086" s="440">
        <v>277502800</v>
      </c>
      <c r="D1086" s="829">
        <v>277502800</v>
      </c>
      <c r="E1086" s="276">
        <f t="shared" si="78"/>
        <v>100</v>
      </c>
      <c r="F1086" s="114">
        <f t="shared" si="79"/>
        <v>100</v>
      </c>
      <c r="G1086" s="111"/>
      <c r="H1086" s="80"/>
      <c r="I1086" s="80"/>
      <c r="J1086" s="80"/>
      <c r="K1086" s="80"/>
      <c r="L1086" s="80"/>
      <c r="M1086" s="80"/>
      <c r="N1086" s="80"/>
      <c r="O1086" s="80"/>
      <c r="P1086" s="80"/>
      <c r="Q1086" s="80"/>
      <c r="R1086" s="80"/>
      <c r="S1086" s="80"/>
      <c r="T1086" s="80"/>
      <c r="U1086" s="80"/>
      <c r="V1086" s="80"/>
      <c r="W1086" s="80"/>
      <c r="X1086" s="80"/>
      <c r="Y1086" s="80"/>
      <c r="Z1086" s="80"/>
      <c r="AA1086" s="80"/>
      <c r="AB1086" s="80"/>
      <c r="AC1086" s="80"/>
      <c r="AD1086" s="80"/>
    </row>
    <row r="1087" spans="1:30" ht="20.25" customHeight="1" x14ac:dyDescent="0.25">
      <c r="A1087" s="159"/>
      <c r="B1087" s="32"/>
      <c r="C1087" s="582"/>
      <c r="D1087" s="778"/>
      <c r="E1087" s="117"/>
      <c r="F1087" s="117"/>
      <c r="G1087" s="111"/>
    </row>
    <row r="1088" spans="1:30" ht="20.100000000000001" customHeight="1" x14ac:dyDescent="0.25">
      <c r="A1088" s="159">
        <v>20</v>
      </c>
      <c r="B1088" s="325" t="s">
        <v>3081</v>
      </c>
      <c r="C1088" s="125">
        <f>C1089</f>
        <v>30181168500</v>
      </c>
      <c r="D1088" s="779">
        <f>+D1089</f>
        <v>28562118610</v>
      </c>
      <c r="E1088" s="114">
        <f>+D1088/C1088*100</f>
        <v>94.635562602554629</v>
      </c>
      <c r="F1088" s="114">
        <f>F1089</f>
        <v>94.635562602554629</v>
      </c>
      <c r="G1088" s="111"/>
    </row>
    <row r="1089" spans="1:7" ht="20.100000000000001" customHeight="1" x14ac:dyDescent="0.25">
      <c r="A1089" s="159"/>
      <c r="B1089" s="325" t="s">
        <v>82</v>
      </c>
      <c r="C1089" s="593">
        <v>30181168500</v>
      </c>
      <c r="D1089" s="789">
        <f>D1090+D1092+D1104+D1107+D1110</f>
        <v>28562118610</v>
      </c>
      <c r="E1089" s="246">
        <f t="shared" ref="E1089:E1111" si="80">D1089/C1089*100</f>
        <v>94.635562602554629</v>
      </c>
      <c r="F1089" s="246">
        <v>94.635562602554629</v>
      </c>
      <c r="G1089" s="111"/>
    </row>
    <row r="1090" spans="1:7" ht="20.100000000000001" customHeight="1" x14ac:dyDescent="0.25">
      <c r="A1090" s="159"/>
      <c r="B1090" s="325" t="s">
        <v>3082</v>
      </c>
      <c r="C1090" s="593">
        <v>900000000</v>
      </c>
      <c r="D1090" s="789">
        <f>D1091</f>
        <v>900000000</v>
      </c>
      <c r="E1090" s="246">
        <f t="shared" si="80"/>
        <v>100</v>
      </c>
      <c r="F1090" s="246">
        <v>100</v>
      </c>
      <c r="G1090" s="111"/>
    </row>
    <row r="1091" spans="1:7" ht="20.100000000000001" customHeight="1" x14ac:dyDescent="0.25">
      <c r="A1091" s="159"/>
      <c r="B1091" s="326" t="s">
        <v>3083</v>
      </c>
      <c r="C1091" s="592">
        <v>900000000</v>
      </c>
      <c r="D1091" s="790">
        <v>900000000</v>
      </c>
      <c r="E1091" s="247">
        <f t="shared" si="80"/>
        <v>100</v>
      </c>
      <c r="F1091" s="247">
        <v>100</v>
      </c>
      <c r="G1091" s="111"/>
    </row>
    <row r="1092" spans="1:7" ht="20.100000000000001" customHeight="1" x14ac:dyDescent="0.25">
      <c r="A1092" s="159"/>
      <c r="B1092" s="325" t="s">
        <v>3084</v>
      </c>
      <c r="C1092" s="593">
        <v>26131018500</v>
      </c>
      <c r="D1092" s="789">
        <f>SUM(D1093:D1103)</f>
        <v>24511968610</v>
      </c>
      <c r="E1092" s="246">
        <f t="shared" si="80"/>
        <v>93.804107214573364</v>
      </c>
      <c r="F1092" s="246">
        <v>93.804107214573364</v>
      </c>
      <c r="G1092" s="111"/>
    </row>
    <row r="1093" spans="1:7" ht="20.100000000000001" customHeight="1" x14ac:dyDescent="0.25">
      <c r="A1093" s="159"/>
      <c r="B1093" s="326" t="s">
        <v>3085</v>
      </c>
      <c r="C1093" s="537">
        <v>1190060100</v>
      </c>
      <c r="D1093" s="791">
        <v>1118300000</v>
      </c>
      <c r="E1093" s="247">
        <f t="shared" si="80"/>
        <v>93.970044033910554</v>
      </c>
      <c r="F1093" s="247">
        <v>93.970044033910554</v>
      </c>
      <c r="G1093" s="111"/>
    </row>
    <row r="1094" spans="1:7" ht="20.100000000000001" customHeight="1" x14ac:dyDescent="0.25">
      <c r="A1094" s="159"/>
      <c r="B1094" s="326" t="s">
        <v>3086</v>
      </c>
      <c r="C1094" s="537">
        <v>964328466</v>
      </c>
      <c r="D1094" s="791">
        <v>286274710</v>
      </c>
      <c r="E1094" s="247">
        <f t="shared" si="80"/>
        <v>29.686431552462334</v>
      </c>
      <c r="F1094" s="247">
        <v>29.686431552462334</v>
      </c>
      <c r="G1094" s="111"/>
    </row>
    <row r="1095" spans="1:7" ht="20.100000000000001" customHeight="1" x14ac:dyDescent="0.25">
      <c r="A1095" s="159"/>
      <c r="B1095" s="326" t="s">
        <v>3087</v>
      </c>
      <c r="C1095" s="537">
        <v>1558492700</v>
      </c>
      <c r="D1095" s="790">
        <v>1483243000</v>
      </c>
      <c r="E1095" s="247">
        <f t="shared" si="80"/>
        <v>95.171636030120638</v>
      </c>
      <c r="F1095" s="247">
        <v>95.171636030120638</v>
      </c>
      <c r="G1095" s="111"/>
    </row>
    <row r="1096" spans="1:7" ht="20.100000000000001" customHeight="1" x14ac:dyDescent="0.25">
      <c r="A1096" s="159"/>
      <c r="B1096" s="326" t="s">
        <v>3088</v>
      </c>
      <c r="C1096" s="537">
        <v>964328467</v>
      </c>
      <c r="D1096" s="791">
        <v>276580000</v>
      </c>
      <c r="E1096" s="247">
        <f t="shared" si="80"/>
        <v>28.681098760926655</v>
      </c>
      <c r="F1096" s="247">
        <v>28.681098760926655</v>
      </c>
      <c r="G1096" s="111"/>
    </row>
    <row r="1097" spans="1:7" ht="20.100000000000001" customHeight="1" x14ac:dyDescent="0.25">
      <c r="A1097" s="159"/>
      <c r="B1097" s="326" t="s">
        <v>3089</v>
      </c>
      <c r="C1097" s="614">
        <v>990060100</v>
      </c>
      <c r="D1097" s="791">
        <v>944107000</v>
      </c>
      <c r="E1097" s="247">
        <f t="shared" si="80"/>
        <v>95.358554495833133</v>
      </c>
      <c r="F1097" s="247">
        <v>95.358554495833133</v>
      </c>
      <c r="G1097" s="111"/>
    </row>
    <row r="1098" spans="1:7" ht="20.100000000000001" customHeight="1" x14ac:dyDescent="0.25">
      <c r="A1098" s="159"/>
      <c r="B1098" s="326" t="s">
        <v>3090</v>
      </c>
      <c r="C1098" s="537">
        <v>1090060100</v>
      </c>
      <c r="D1098" s="791">
        <v>1072800000</v>
      </c>
      <c r="E1098" s="247">
        <f t="shared" si="80"/>
        <v>98.416591892502069</v>
      </c>
      <c r="F1098" s="247">
        <v>98.416591892502069</v>
      </c>
      <c r="G1098" s="111"/>
    </row>
    <row r="1099" spans="1:7" ht="20.100000000000001" customHeight="1" x14ac:dyDescent="0.25">
      <c r="A1099" s="159"/>
      <c r="B1099" s="326" t="s">
        <v>3091</v>
      </c>
      <c r="C1099" s="537">
        <v>964328467</v>
      </c>
      <c r="D1099" s="791">
        <v>950800000</v>
      </c>
      <c r="E1099" s="247">
        <f t="shared" si="80"/>
        <v>98.597110065402632</v>
      </c>
      <c r="F1099" s="247">
        <v>98.597110065402632</v>
      </c>
      <c r="G1099" s="111"/>
    </row>
    <row r="1100" spans="1:7" ht="20.100000000000001" customHeight="1" x14ac:dyDescent="0.25">
      <c r="A1100" s="159"/>
      <c r="B1100" s="326" t="s">
        <v>3092</v>
      </c>
      <c r="C1100" s="537">
        <v>1290060100</v>
      </c>
      <c r="D1100" s="790">
        <v>1260563900</v>
      </c>
      <c r="E1100" s="247">
        <f t="shared" si="80"/>
        <v>97.713579390603584</v>
      </c>
      <c r="F1100" s="247">
        <v>97.713579390603584</v>
      </c>
      <c r="G1100" s="111"/>
    </row>
    <row r="1101" spans="1:7" ht="20.100000000000001" customHeight="1" x14ac:dyDescent="0.25">
      <c r="A1101" s="159"/>
      <c r="B1101" s="326" t="s">
        <v>3093</v>
      </c>
      <c r="C1101" s="537">
        <v>15802800000</v>
      </c>
      <c r="D1101" s="791">
        <v>15802800000</v>
      </c>
      <c r="E1101" s="247">
        <f t="shared" si="80"/>
        <v>100</v>
      </c>
      <c r="F1101" s="247">
        <v>100</v>
      </c>
      <c r="G1101" s="111"/>
    </row>
    <row r="1102" spans="1:7" ht="20.100000000000001" customHeight="1" x14ac:dyDescent="0.25">
      <c r="A1102" s="159"/>
      <c r="B1102" s="326" t="s">
        <v>3094</v>
      </c>
      <c r="C1102" s="537">
        <v>466500000</v>
      </c>
      <c r="D1102" s="791">
        <v>466500000</v>
      </c>
      <c r="E1102" s="247">
        <f t="shared" si="80"/>
        <v>100</v>
      </c>
      <c r="F1102" s="247">
        <v>100</v>
      </c>
      <c r="G1102" s="111"/>
    </row>
    <row r="1103" spans="1:7" ht="20.100000000000001" customHeight="1" x14ac:dyDescent="0.25">
      <c r="A1103" s="159"/>
      <c r="B1103" s="326" t="s">
        <v>3095</v>
      </c>
      <c r="C1103" s="537">
        <v>850000000</v>
      </c>
      <c r="D1103" s="791">
        <v>850000000</v>
      </c>
      <c r="E1103" s="247">
        <f t="shared" si="80"/>
        <v>100</v>
      </c>
      <c r="F1103" s="247">
        <v>100</v>
      </c>
      <c r="G1103" s="111"/>
    </row>
    <row r="1104" spans="1:7" ht="20.100000000000001" customHeight="1" x14ac:dyDescent="0.25">
      <c r="A1104" s="159"/>
      <c r="B1104" s="325" t="s">
        <v>693</v>
      </c>
      <c r="C1104" s="593">
        <v>1092400000</v>
      </c>
      <c r="D1104" s="789">
        <f>D1105+D1106</f>
        <v>1092400000</v>
      </c>
      <c r="E1104" s="246">
        <f t="shared" si="80"/>
        <v>100</v>
      </c>
      <c r="F1104" s="246">
        <v>100</v>
      </c>
      <c r="G1104" s="111"/>
    </row>
    <row r="1105" spans="1:7" ht="20.100000000000001" customHeight="1" x14ac:dyDescent="0.25">
      <c r="A1105" s="159"/>
      <c r="B1105" s="326" t="s">
        <v>3096</v>
      </c>
      <c r="C1105" s="592">
        <v>942400000</v>
      </c>
      <c r="D1105" s="791">
        <v>942400000</v>
      </c>
      <c r="E1105" s="247">
        <f t="shared" si="80"/>
        <v>100</v>
      </c>
      <c r="F1105" s="247">
        <v>100</v>
      </c>
      <c r="G1105" s="111"/>
    </row>
    <row r="1106" spans="1:7" ht="20.100000000000001" customHeight="1" x14ac:dyDescent="0.25">
      <c r="A1106" s="159"/>
      <c r="B1106" s="326" t="s">
        <v>3097</v>
      </c>
      <c r="C1106" s="592">
        <v>150000000</v>
      </c>
      <c r="D1106" s="791">
        <v>150000000</v>
      </c>
      <c r="E1106" s="247">
        <f t="shared" si="80"/>
        <v>100</v>
      </c>
      <c r="F1106" s="247">
        <v>100</v>
      </c>
      <c r="G1106" s="111"/>
    </row>
    <row r="1107" spans="1:7" ht="20.100000000000001" customHeight="1" x14ac:dyDescent="0.25">
      <c r="A1107" s="159"/>
      <c r="B1107" s="325" t="s">
        <v>3098</v>
      </c>
      <c r="C1107" s="593">
        <v>391750000</v>
      </c>
      <c r="D1107" s="789">
        <f>D1108+D1109</f>
        <v>391750000</v>
      </c>
      <c r="E1107" s="246">
        <f t="shared" si="80"/>
        <v>100</v>
      </c>
      <c r="F1107" s="246">
        <v>100</v>
      </c>
      <c r="G1107" s="111"/>
    </row>
    <row r="1108" spans="1:7" ht="20.100000000000001" customHeight="1" x14ac:dyDescent="0.25">
      <c r="A1108" s="159"/>
      <c r="B1108" s="326" t="s">
        <v>3099</v>
      </c>
      <c r="C1108" s="592">
        <v>256750000</v>
      </c>
      <c r="D1108" s="791">
        <v>256750000</v>
      </c>
      <c r="E1108" s="247">
        <f t="shared" si="80"/>
        <v>100</v>
      </c>
      <c r="F1108" s="247">
        <v>100</v>
      </c>
      <c r="G1108" s="111"/>
    </row>
    <row r="1109" spans="1:7" ht="20.100000000000001" customHeight="1" x14ac:dyDescent="0.25">
      <c r="A1109" s="159"/>
      <c r="B1109" s="326" t="s">
        <v>3100</v>
      </c>
      <c r="C1109" s="592">
        <v>135000000</v>
      </c>
      <c r="D1109" s="791">
        <v>135000000</v>
      </c>
      <c r="E1109" s="247">
        <f t="shared" si="80"/>
        <v>100</v>
      </c>
      <c r="F1109" s="247">
        <v>100</v>
      </c>
      <c r="G1109" s="111"/>
    </row>
    <row r="1110" spans="1:7" ht="20.100000000000001" customHeight="1" x14ac:dyDescent="0.25">
      <c r="A1110" s="159"/>
      <c r="B1110" s="325" t="s">
        <v>109</v>
      </c>
      <c r="C1110" s="593">
        <v>1666000000</v>
      </c>
      <c r="D1110" s="789">
        <f>SUM(D1111:D1111)</f>
        <v>1666000000</v>
      </c>
      <c r="E1110" s="246">
        <f t="shared" si="80"/>
        <v>100</v>
      </c>
      <c r="F1110" s="246">
        <v>100</v>
      </c>
      <c r="G1110" s="111"/>
    </row>
    <row r="1111" spans="1:7" ht="20.100000000000001" customHeight="1" x14ac:dyDescent="0.25">
      <c r="A1111" s="159"/>
      <c r="B1111" s="327" t="s">
        <v>3101</v>
      </c>
      <c r="C1111" s="592">
        <v>1666000000</v>
      </c>
      <c r="D1111" s="790">
        <v>1666000000</v>
      </c>
      <c r="E1111" s="247">
        <f t="shared" si="80"/>
        <v>100</v>
      </c>
      <c r="F1111" s="247">
        <v>100</v>
      </c>
      <c r="G1111" s="111"/>
    </row>
    <row r="1112" spans="1:7" ht="20.25" customHeight="1" x14ac:dyDescent="0.25">
      <c r="A1112" s="159"/>
      <c r="B1112" s="32"/>
      <c r="C1112" s="582"/>
      <c r="D1112" s="778"/>
      <c r="E1112" s="117"/>
      <c r="F1112" s="117"/>
      <c r="G1112" s="111"/>
    </row>
    <row r="1113" spans="1:7" ht="20.100000000000001" customHeight="1" x14ac:dyDescent="0.25">
      <c r="A1113" s="159">
        <v>21</v>
      </c>
      <c r="B1113" s="328" t="s">
        <v>3180</v>
      </c>
      <c r="C1113" s="593">
        <f>C1114</f>
        <v>31977338000</v>
      </c>
      <c r="D1113" s="779">
        <f>+D1114</f>
        <v>31209655000</v>
      </c>
      <c r="E1113" s="114">
        <f>+D1113/C1113*100</f>
        <v>97.599290472521503</v>
      </c>
      <c r="F1113" s="114">
        <f>F1114</f>
        <v>97.599290472521503</v>
      </c>
      <c r="G1113" s="111"/>
    </row>
    <row r="1114" spans="1:7" ht="20.100000000000001" customHeight="1" x14ac:dyDescent="0.25">
      <c r="A1114" s="159"/>
      <c r="B1114" s="329" t="s">
        <v>3181</v>
      </c>
      <c r="C1114" s="593">
        <f>C1115+C1121+C1129+C1131</f>
        <v>31977338000</v>
      </c>
      <c r="D1114" s="787">
        <f>D1115+D1121+D1129+D1131</f>
        <v>31209655000</v>
      </c>
      <c r="E1114" s="333">
        <f>D1114/C1114*100</f>
        <v>97.599290472521503</v>
      </c>
      <c r="F1114" s="333">
        <f>D1114/C1114*100</f>
        <v>97.599290472521503</v>
      </c>
      <c r="G1114" s="111"/>
    </row>
    <row r="1115" spans="1:7" ht="20.100000000000001" customHeight="1" x14ac:dyDescent="0.25">
      <c r="A1115" s="159"/>
      <c r="B1115" s="48" t="s">
        <v>797</v>
      </c>
      <c r="C1115" s="593">
        <f>SUM(C1116:C1120)</f>
        <v>3365338000</v>
      </c>
      <c r="D1115" s="787">
        <f>SUM(D1116:D1120)</f>
        <v>3220325000</v>
      </c>
      <c r="E1115" s="333">
        <f t="shared" ref="E1115:E1133" si="81">D1115/C1115*100</f>
        <v>95.690982599667549</v>
      </c>
      <c r="F1115" s="379">
        <f t="shared" ref="F1115:F1133" si="82">D1115/C1115*100</f>
        <v>95.690982599667549</v>
      </c>
      <c r="G1115" s="111"/>
    </row>
    <row r="1116" spans="1:7" ht="20.100000000000001" customHeight="1" x14ac:dyDescent="0.25">
      <c r="A1116" s="159"/>
      <c r="B1116" s="119" t="s">
        <v>2870</v>
      </c>
      <c r="C1116" s="592">
        <v>1600000000</v>
      </c>
      <c r="D1116" s="791">
        <v>1455125000</v>
      </c>
      <c r="E1116" s="379">
        <f t="shared" si="81"/>
        <v>90.9453125</v>
      </c>
      <c r="F1116" s="379">
        <f t="shared" si="82"/>
        <v>90.9453125</v>
      </c>
      <c r="G1116" s="111"/>
    </row>
    <row r="1117" spans="1:7" ht="20.100000000000001" customHeight="1" x14ac:dyDescent="0.25">
      <c r="A1117" s="159"/>
      <c r="B1117" s="119" t="s">
        <v>985</v>
      </c>
      <c r="C1117" s="592">
        <v>150000000</v>
      </c>
      <c r="D1117" s="791">
        <v>150000000</v>
      </c>
      <c r="E1117" s="379">
        <f t="shared" si="81"/>
        <v>100</v>
      </c>
      <c r="F1117" s="379">
        <f t="shared" si="82"/>
        <v>100</v>
      </c>
      <c r="G1117" s="111"/>
    </row>
    <row r="1118" spans="1:7" ht="20.100000000000001" customHeight="1" x14ac:dyDescent="0.25">
      <c r="A1118" s="159"/>
      <c r="B1118" s="119" t="s">
        <v>3182</v>
      </c>
      <c r="C1118" s="592">
        <v>260000000</v>
      </c>
      <c r="D1118" s="788">
        <v>260000000</v>
      </c>
      <c r="E1118" s="379">
        <f t="shared" si="81"/>
        <v>100</v>
      </c>
      <c r="F1118" s="379">
        <f t="shared" si="82"/>
        <v>100</v>
      </c>
      <c r="G1118" s="111"/>
    </row>
    <row r="1119" spans="1:7" ht="20.100000000000001" customHeight="1" x14ac:dyDescent="0.25">
      <c r="A1119" s="159"/>
      <c r="B1119" s="119" t="s">
        <v>3183</v>
      </c>
      <c r="C1119" s="592">
        <v>250000000</v>
      </c>
      <c r="D1119" s="788">
        <v>250000000</v>
      </c>
      <c r="E1119" s="379">
        <f t="shared" si="81"/>
        <v>100</v>
      </c>
      <c r="F1119" s="379">
        <f t="shared" si="82"/>
        <v>100</v>
      </c>
      <c r="G1119" s="111"/>
    </row>
    <row r="1120" spans="1:7" ht="20.100000000000001" customHeight="1" x14ac:dyDescent="0.25">
      <c r="A1120" s="159"/>
      <c r="B1120" s="119" t="s">
        <v>3184</v>
      </c>
      <c r="C1120" s="592">
        <v>1105338000</v>
      </c>
      <c r="D1120" s="791">
        <v>1105200000</v>
      </c>
      <c r="E1120" s="379">
        <f t="shared" si="81"/>
        <v>99.987515131118272</v>
      </c>
      <c r="F1120" s="379">
        <f t="shared" si="82"/>
        <v>99.987515131118272</v>
      </c>
      <c r="G1120" s="111"/>
    </row>
    <row r="1121" spans="1:8" ht="20.100000000000001" customHeight="1" x14ac:dyDescent="0.25">
      <c r="A1121" s="159"/>
      <c r="B1121" s="48" t="s">
        <v>680</v>
      </c>
      <c r="C1121" s="593">
        <f>SUM(C1122:C1128)</f>
        <v>28022000000</v>
      </c>
      <c r="D1121" s="787">
        <f>SUM(D1122:D1128)</f>
        <v>27579330000</v>
      </c>
      <c r="E1121" s="333">
        <f t="shared" si="81"/>
        <v>98.420276925273001</v>
      </c>
      <c r="F1121" s="333">
        <f t="shared" si="82"/>
        <v>98.420276925273001</v>
      </c>
      <c r="G1121" s="111"/>
    </row>
    <row r="1122" spans="1:8" ht="20.100000000000001" customHeight="1" x14ac:dyDescent="0.25">
      <c r="A1122" s="159"/>
      <c r="B1122" s="119" t="s">
        <v>2870</v>
      </c>
      <c r="C1122" s="592">
        <v>5925000000</v>
      </c>
      <c r="D1122" s="791">
        <v>5795880000</v>
      </c>
      <c r="E1122" s="379">
        <f t="shared" si="81"/>
        <v>97.820759493670877</v>
      </c>
      <c r="F1122" s="379">
        <f t="shared" si="82"/>
        <v>97.820759493670877</v>
      </c>
      <c r="G1122" s="111"/>
    </row>
    <row r="1123" spans="1:8" ht="20.100000000000001" customHeight="1" x14ac:dyDescent="0.25">
      <c r="A1123" s="159"/>
      <c r="B1123" s="119" t="s">
        <v>3185</v>
      </c>
      <c r="C1123" s="592">
        <v>6615000000</v>
      </c>
      <c r="D1123" s="791">
        <v>6504500000</v>
      </c>
      <c r="E1123" s="379">
        <f t="shared" si="81"/>
        <v>98.329554043839764</v>
      </c>
      <c r="F1123" s="379">
        <f t="shared" si="82"/>
        <v>98.329554043839764</v>
      </c>
      <c r="G1123" s="111"/>
    </row>
    <row r="1124" spans="1:8" ht="20.100000000000001" customHeight="1" x14ac:dyDescent="0.25">
      <c r="A1124" s="159"/>
      <c r="B1124" s="119" t="s">
        <v>3186</v>
      </c>
      <c r="C1124" s="592">
        <v>6000000000</v>
      </c>
      <c r="D1124" s="791">
        <v>5847600000</v>
      </c>
      <c r="E1124" s="379">
        <f t="shared" si="81"/>
        <v>97.460000000000008</v>
      </c>
      <c r="F1124" s="379">
        <f t="shared" si="82"/>
        <v>97.460000000000008</v>
      </c>
      <c r="G1124" s="111"/>
    </row>
    <row r="1125" spans="1:8" ht="20.100000000000001" customHeight="1" x14ac:dyDescent="0.25">
      <c r="A1125" s="159"/>
      <c r="B1125" s="119" t="s">
        <v>3187</v>
      </c>
      <c r="C1125" s="592">
        <v>550000000</v>
      </c>
      <c r="D1125" s="791">
        <v>550000000</v>
      </c>
      <c r="E1125" s="379">
        <f t="shared" si="81"/>
        <v>100</v>
      </c>
      <c r="F1125" s="379">
        <f t="shared" si="82"/>
        <v>100</v>
      </c>
      <c r="G1125" s="111"/>
    </row>
    <row r="1126" spans="1:8" ht="20.100000000000001" customHeight="1" x14ac:dyDescent="0.25">
      <c r="A1126" s="159"/>
      <c r="B1126" s="119" t="s">
        <v>3188</v>
      </c>
      <c r="C1126" s="592">
        <v>7632000000</v>
      </c>
      <c r="D1126" s="791">
        <v>7632000000</v>
      </c>
      <c r="E1126" s="379">
        <f t="shared" si="81"/>
        <v>100</v>
      </c>
      <c r="F1126" s="379">
        <f t="shared" si="82"/>
        <v>100</v>
      </c>
      <c r="G1126" s="111"/>
    </row>
    <row r="1127" spans="1:8" ht="20.100000000000001" customHeight="1" x14ac:dyDescent="0.25">
      <c r="A1127" s="159"/>
      <c r="B1127" s="119" t="s">
        <v>3189</v>
      </c>
      <c r="C1127" s="592">
        <v>500000000</v>
      </c>
      <c r="D1127" s="826">
        <v>449350000</v>
      </c>
      <c r="E1127" s="379">
        <f t="shared" si="81"/>
        <v>89.87</v>
      </c>
      <c r="F1127" s="379">
        <f t="shared" si="82"/>
        <v>89.87</v>
      </c>
      <c r="G1127" s="111"/>
    </row>
    <row r="1128" spans="1:8" ht="20.100000000000001" customHeight="1" x14ac:dyDescent="0.25">
      <c r="A1128" s="159"/>
      <c r="B1128" s="119" t="s">
        <v>3190</v>
      </c>
      <c r="C1128" s="592">
        <v>800000000</v>
      </c>
      <c r="D1128" s="788">
        <v>800000000</v>
      </c>
      <c r="E1128" s="379">
        <f t="shared" si="81"/>
        <v>100</v>
      </c>
      <c r="F1128" s="379">
        <f t="shared" si="82"/>
        <v>100</v>
      </c>
      <c r="G1128" s="111"/>
    </row>
    <row r="1129" spans="1:8" ht="20.100000000000001" customHeight="1" x14ac:dyDescent="0.25">
      <c r="A1129" s="159"/>
      <c r="B1129" s="48" t="s">
        <v>693</v>
      </c>
      <c r="C1129" s="593">
        <f>+C1130</f>
        <v>150000000</v>
      </c>
      <c r="D1129" s="787">
        <f>D1130</f>
        <v>150000000</v>
      </c>
      <c r="E1129" s="333">
        <f t="shared" si="81"/>
        <v>100</v>
      </c>
      <c r="F1129" s="333">
        <f t="shared" si="82"/>
        <v>100</v>
      </c>
      <c r="G1129" s="111"/>
    </row>
    <row r="1130" spans="1:8" ht="20.100000000000001" customHeight="1" x14ac:dyDescent="0.25">
      <c r="A1130" s="159"/>
      <c r="B1130" s="119" t="s">
        <v>3191</v>
      </c>
      <c r="C1130" s="592">
        <v>150000000</v>
      </c>
      <c r="D1130" s="788">
        <v>150000000</v>
      </c>
      <c r="E1130" s="379">
        <f t="shared" si="81"/>
        <v>100</v>
      </c>
      <c r="F1130" s="379">
        <f t="shared" si="82"/>
        <v>100</v>
      </c>
      <c r="G1130" s="111"/>
    </row>
    <row r="1131" spans="1:8" ht="20.100000000000001" customHeight="1" x14ac:dyDescent="0.25">
      <c r="A1131" s="159"/>
      <c r="B1131" s="48" t="s">
        <v>1371</v>
      </c>
      <c r="C1131" s="593">
        <f>+C1132+C1133</f>
        <v>440000000</v>
      </c>
      <c r="D1131" s="845">
        <f>D1132+D1133</f>
        <v>260000000</v>
      </c>
      <c r="E1131" s="333">
        <f t="shared" si="81"/>
        <v>59.090909090909093</v>
      </c>
      <c r="F1131" s="333">
        <f t="shared" si="82"/>
        <v>59.090909090909093</v>
      </c>
      <c r="G1131" s="111"/>
    </row>
    <row r="1132" spans="1:8" ht="20.100000000000001" customHeight="1" x14ac:dyDescent="0.25">
      <c r="A1132" s="159"/>
      <c r="B1132" s="119" t="s">
        <v>3192</v>
      </c>
      <c r="C1132" s="592">
        <v>180000000</v>
      </c>
      <c r="D1132" s="788">
        <v>0</v>
      </c>
      <c r="E1132" s="379">
        <f t="shared" si="81"/>
        <v>0</v>
      </c>
      <c r="F1132" s="379">
        <f t="shared" si="82"/>
        <v>0</v>
      </c>
      <c r="G1132" s="111"/>
    </row>
    <row r="1133" spans="1:8" ht="30.75" customHeight="1" x14ac:dyDescent="0.25">
      <c r="A1133" s="159"/>
      <c r="B1133" s="119" t="s">
        <v>3193</v>
      </c>
      <c r="C1133" s="592">
        <v>260000000</v>
      </c>
      <c r="D1133" s="826">
        <v>260000000</v>
      </c>
      <c r="E1133" s="379">
        <f t="shared" si="81"/>
        <v>100</v>
      </c>
      <c r="F1133" s="379">
        <f t="shared" si="82"/>
        <v>100</v>
      </c>
      <c r="G1133" s="111"/>
    </row>
    <row r="1134" spans="1:8" ht="20.25" customHeight="1" x14ac:dyDescent="0.25">
      <c r="A1134" s="159"/>
      <c r="B1134" s="32"/>
      <c r="C1134" s="582"/>
      <c r="D1134" s="778"/>
      <c r="E1134" s="117"/>
      <c r="F1134" s="117"/>
      <c r="G1134" s="111"/>
    </row>
    <row r="1135" spans="1:8" s="115" customFormat="1" ht="20.100000000000001" customHeight="1" x14ac:dyDescent="0.25">
      <c r="A1135" s="159">
        <v>22</v>
      </c>
      <c r="B1135" s="217" t="s">
        <v>3242</v>
      </c>
      <c r="C1135" s="593">
        <f>+C1136+C1158</f>
        <v>38567550000</v>
      </c>
      <c r="D1135" s="779">
        <f>+D1136+D1158</f>
        <v>35680114050</v>
      </c>
      <c r="E1135" s="114">
        <f>+D1135/C1135*100</f>
        <v>92.513302115379375</v>
      </c>
      <c r="F1135" s="114">
        <f>+E1135</f>
        <v>92.513302115379375</v>
      </c>
      <c r="G1135" s="121"/>
      <c r="H1135" s="324"/>
    </row>
    <row r="1136" spans="1:8" s="115" customFormat="1" ht="20.100000000000001" customHeight="1" x14ac:dyDescent="0.25">
      <c r="A1136" s="159"/>
      <c r="B1136" s="540" t="s">
        <v>82</v>
      </c>
      <c r="C1136" s="541">
        <f>C1137+C1147+C1149+C1154</f>
        <v>36817550000</v>
      </c>
      <c r="D1136" s="789">
        <f>D1137+D1147+D1149+D1154</f>
        <v>34480114050</v>
      </c>
      <c r="E1136" s="333">
        <f t="shared" ref="E1136:E1143" si="83">D1136/C1136%</f>
        <v>93.6512995840299</v>
      </c>
      <c r="F1136" s="333">
        <f>(F1137+F1147+F1149+F1154)/4</f>
        <v>99.375</v>
      </c>
      <c r="G1136" s="120"/>
    </row>
    <row r="1137" spans="1:7" s="115" customFormat="1" ht="20.100000000000001" customHeight="1" x14ac:dyDescent="0.25">
      <c r="A1137" s="159"/>
      <c r="B1137" s="540" t="s">
        <v>680</v>
      </c>
      <c r="C1137" s="541">
        <f>SUM(C1138:C1146)</f>
        <v>19754400000</v>
      </c>
      <c r="D1137" s="789">
        <f>SUM(D1138:D1146)</f>
        <v>19222674050</v>
      </c>
      <c r="E1137" s="333">
        <f t="shared" si="83"/>
        <v>97.308316375086051</v>
      </c>
      <c r="F1137" s="333">
        <v>100</v>
      </c>
      <c r="G1137" s="121"/>
    </row>
    <row r="1138" spans="1:7" ht="20.100000000000001" customHeight="1" x14ac:dyDescent="0.25">
      <c r="A1138" s="159"/>
      <c r="B1138" s="542" t="s">
        <v>3243</v>
      </c>
      <c r="C1138" s="543">
        <v>1712000000</v>
      </c>
      <c r="D1138" s="790">
        <v>1707500000</v>
      </c>
      <c r="E1138" s="379">
        <f t="shared" si="83"/>
        <v>99.737149532710276</v>
      </c>
      <c r="F1138" s="379">
        <v>100</v>
      </c>
      <c r="G1138" s="111"/>
    </row>
    <row r="1139" spans="1:7" ht="20.100000000000001" customHeight="1" x14ac:dyDescent="0.25">
      <c r="A1139" s="159"/>
      <c r="B1139" s="542" t="s">
        <v>3244</v>
      </c>
      <c r="C1139" s="543">
        <v>1047000000</v>
      </c>
      <c r="D1139" s="790">
        <v>1029000000</v>
      </c>
      <c r="E1139" s="379">
        <f t="shared" si="83"/>
        <v>98.280802292263616</v>
      </c>
      <c r="F1139" s="379">
        <v>100</v>
      </c>
      <c r="G1139" s="111"/>
    </row>
    <row r="1140" spans="1:7" ht="20.100000000000001" customHeight="1" x14ac:dyDescent="0.25">
      <c r="A1140" s="159"/>
      <c r="B1140" s="542" t="s">
        <v>3245</v>
      </c>
      <c r="C1140" s="543">
        <v>12794200000</v>
      </c>
      <c r="D1140" s="790">
        <v>12305954050</v>
      </c>
      <c r="E1140" s="379">
        <f t="shared" si="83"/>
        <v>96.183849322349189</v>
      </c>
      <c r="F1140" s="379">
        <v>100</v>
      </c>
      <c r="G1140" s="111"/>
    </row>
    <row r="1141" spans="1:7" ht="20.100000000000001" customHeight="1" x14ac:dyDescent="0.25">
      <c r="A1141" s="159"/>
      <c r="B1141" s="542" t="s">
        <v>3246</v>
      </c>
      <c r="C1141" s="543">
        <v>254200000</v>
      </c>
      <c r="D1141" s="790">
        <v>253000000</v>
      </c>
      <c r="E1141" s="379">
        <f t="shared" si="83"/>
        <v>99.527930763178603</v>
      </c>
      <c r="F1141" s="379">
        <v>100</v>
      </c>
      <c r="G1141" s="111"/>
    </row>
    <row r="1142" spans="1:7" ht="20.100000000000001" customHeight="1" x14ac:dyDescent="0.25">
      <c r="A1142" s="159"/>
      <c r="B1142" s="542" t="s">
        <v>3247</v>
      </c>
      <c r="C1142" s="543">
        <v>1100000000</v>
      </c>
      <c r="D1142" s="790">
        <v>1092420000</v>
      </c>
      <c r="E1142" s="379">
        <f t="shared" si="83"/>
        <v>99.310909090909092</v>
      </c>
      <c r="F1142" s="379">
        <v>100</v>
      </c>
      <c r="G1142" s="111"/>
    </row>
    <row r="1143" spans="1:7" ht="20.100000000000001" customHeight="1" x14ac:dyDescent="0.25">
      <c r="A1143" s="159"/>
      <c r="B1143" s="542" t="s">
        <v>3248</v>
      </c>
      <c r="C1143" s="543">
        <v>1284000000</v>
      </c>
      <c r="D1143" s="790">
        <v>1278350000</v>
      </c>
      <c r="E1143" s="379">
        <f t="shared" si="83"/>
        <v>99.559968847352025</v>
      </c>
      <c r="F1143" s="379">
        <v>100</v>
      </c>
      <c r="G1143" s="111"/>
    </row>
    <row r="1144" spans="1:7" ht="20.100000000000001" customHeight="1" x14ac:dyDescent="0.25">
      <c r="A1144" s="159"/>
      <c r="B1144" s="542" t="s">
        <v>3249</v>
      </c>
      <c r="C1144" s="543">
        <v>600000000</v>
      </c>
      <c r="D1144" s="790">
        <v>598150000</v>
      </c>
      <c r="E1144" s="379">
        <f>D1144/C1144%</f>
        <v>99.691666666666663</v>
      </c>
      <c r="F1144" s="379">
        <v>100</v>
      </c>
      <c r="G1144" s="111"/>
    </row>
    <row r="1145" spans="1:7" ht="20.100000000000001" customHeight="1" x14ac:dyDescent="0.25">
      <c r="A1145" s="159"/>
      <c r="B1145" s="542" t="s">
        <v>3250</v>
      </c>
      <c r="C1145" s="543">
        <v>214000000</v>
      </c>
      <c r="D1145" s="790">
        <v>211500000</v>
      </c>
      <c r="E1145" s="379">
        <f>D1145/C1145%</f>
        <v>98.831775700934585</v>
      </c>
      <c r="F1145" s="379">
        <v>100</v>
      </c>
      <c r="G1145" s="111"/>
    </row>
    <row r="1146" spans="1:7" ht="20.100000000000001" customHeight="1" x14ac:dyDescent="0.25">
      <c r="A1146" s="159"/>
      <c r="B1146" s="542" t="s">
        <v>3251</v>
      </c>
      <c r="C1146" s="543">
        <v>749000000</v>
      </c>
      <c r="D1146" s="790">
        <v>746800000</v>
      </c>
      <c r="E1146" s="379">
        <f t="shared" ref="E1146:E1156" si="84">D1146/C1146%</f>
        <v>99.706275033377835</v>
      </c>
      <c r="F1146" s="379">
        <v>100</v>
      </c>
      <c r="G1146" s="111"/>
    </row>
    <row r="1147" spans="1:7" ht="20.100000000000001" customHeight="1" x14ac:dyDescent="0.25">
      <c r="A1147" s="159"/>
      <c r="B1147" s="540" t="s">
        <v>693</v>
      </c>
      <c r="C1147" s="541">
        <f>SUM(C1148:C1148)</f>
        <v>636600000</v>
      </c>
      <c r="D1147" s="789">
        <f>SUM(D1148:D1148)</f>
        <v>636600000</v>
      </c>
      <c r="E1147" s="333">
        <f t="shared" si="84"/>
        <v>100</v>
      </c>
      <c r="F1147" s="333">
        <v>100</v>
      </c>
      <c r="G1147" s="111"/>
    </row>
    <row r="1148" spans="1:7" ht="20.100000000000001" customHeight="1" x14ac:dyDescent="0.25">
      <c r="A1148" s="159"/>
      <c r="B1148" s="542" t="s">
        <v>3252</v>
      </c>
      <c r="C1148" s="543">
        <v>636600000</v>
      </c>
      <c r="D1148" s="790">
        <v>636600000</v>
      </c>
      <c r="E1148" s="379">
        <f t="shared" si="84"/>
        <v>100</v>
      </c>
      <c r="F1148" s="379">
        <v>100</v>
      </c>
      <c r="G1148" s="111"/>
    </row>
    <row r="1149" spans="1:7" s="115" customFormat="1" ht="20.100000000000001" customHeight="1" x14ac:dyDescent="0.25">
      <c r="A1149" s="159"/>
      <c r="B1149" s="540" t="s">
        <v>100</v>
      </c>
      <c r="C1149" s="541">
        <f>SUM(C1150:C1153)</f>
        <v>15901550000</v>
      </c>
      <c r="D1149" s="789">
        <f>SUM(D1150:D1153)</f>
        <v>14125700000</v>
      </c>
      <c r="E1149" s="333">
        <f t="shared" si="84"/>
        <v>88.832220758353742</v>
      </c>
      <c r="F1149" s="333">
        <f>SUM(F1150:F1153)/4</f>
        <v>97.5</v>
      </c>
      <c r="G1149" s="121"/>
    </row>
    <row r="1150" spans="1:7" ht="20.100000000000001" customHeight="1" x14ac:dyDescent="0.25">
      <c r="A1150" s="159"/>
      <c r="B1150" s="542" t="s">
        <v>3253</v>
      </c>
      <c r="C1150" s="543">
        <v>15000000000</v>
      </c>
      <c r="D1150" s="790">
        <v>13266650000</v>
      </c>
      <c r="E1150" s="379">
        <f t="shared" si="84"/>
        <v>88.444333333333333</v>
      </c>
      <c r="F1150" s="379">
        <v>90</v>
      </c>
      <c r="G1150" s="111"/>
    </row>
    <row r="1151" spans="1:7" s="115" customFormat="1" ht="20.100000000000001" customHeight="1" x14ac:dyDescent="0.25">
      <c r="A1151" s="159"/>
      <c r="B1151" s="542" t="s">
        <v>3254</v>
      </c>
      <c r="C1151" s="543">
        <v>270000000</v>
      </c>
      <c r="D1151" s="790">
        <v>232500000</v>
      </c>
      <c r="E1151" s="379">
        <f t="shared" si="84"/>
        <v>86.111111111111114</v>
      </c>
      <c r="F1151" s="379">
        <v>100</v>
      </c>
      <c r="G1151" s="121"/>
    </row>
    <row r="1152" spans="1:7" ht="20.100000000000001" customHeight="1" x14ac:dyDescent="0.25">
      <c r="A1152" s="159"/>
      <c r="B1152" s="542" t="s">
        <v>3255</v>
      </c>
      <c r="C1152" s="543">
        <v>245000000</v>
      </c>
      <c r="D1152" s="790">
        <v>245000000</v>
      </c>
      <c r="E1152" s="379">
        <f t="shared" si="84"/>
        <v>100</v>
      </c>
      <c r="F1152" s="379">
        <v>100</v>
      </c>
      <c r="G1152" s="111"/>
    </row>
    <row r="1153" spans="1:7" ht="20.100000000000001" customHeight="1" x14ac:dyDescent="0.25">
      <c r="A1153" s="159"/>
      <c r="B1153" s="542" t="s">
        <v>3256</v>
      </c>
      <c r="C1153" s="543">
        <v>386550000</v>
      </c>
      <c r="D1153" s="790">
        <v>381550000</v>
      </c>
      <c r="E1153" s="379">
        <f t="shared" si="84"/>
        <v>98.706506273444575</v>
      </c>
      <c r="F1153" s="379">
        <v>100</v>
      </c>
      <c r="G1153" s="111"/>
    </row>
    <row r="1154" spans="1:7" ht="20.100000000000001" customHeight="1" x14ac:dyDescent="0.25">
      <c r="A1154" s="159"/>
      <c r="B1154" s="540" t="s">
        <v>100</v>
      </c>
      <c r="C1154" s="541">
        <f>SUM(C1155:C1156)</f>
        <v>525000000</v>
      </c>
      <c r="D1154" s="789">
        <f>SUM(D1155:D1156)</f>
        <v>495140000</v>
      </c>
      <c r="E1154" s="333">
        <f t="shared" si="84"/>
        <v>94.312380952380948</v>
      </c>
      <c r="F1154" s="333">
        <v>100</v>
      </c>
      <c r="G1154" s="111"/>
    </row>
    <row r="1155" spans="1:7" ht="20.100000000000001" customHeight="1" x14ac:dyDescent="0.25">
      <c r="A1155" s="159"/>
      <c r="B1155" s="542" t="s">
        <v>3257</v>
      </c>
      <c r="C1155" s="543">
        <v>280000000</v>
      </c>
      <c r="D1155" s="790">
        <v>255140000</v>
      </c>
      <c r="E1155" s="379">
        <f t="shared" si="84"/>
        <v>91.121428571428567</v>
      </c>
      <c r="F1155" s="379">
        <v>100</v>
      </c>
      <c r="G1155" s="111"/>
    </row>
    <row r="1156" spans="1:7" ht="20.100000000000001" customHeight="1" x14ac:dyDescent="0.25">
      <c r="A1156" s="159"/>
      <c r="B1156" s="542" t="s">
        <v>3258</v>
      </c>
      <c r="C1156" s="543">
        <v>245000000</v>
      </c>
      <c r="D1156" s="790">
        <v>240000000</v>
      </c>
      <c r="E1156" s="379">
        <f t="shared" si="84"/>
        <v>97.959183673469383</v>
      </c>
      <c r="F1156" s="379">
        <v>100</v>
      </c>
      <c r="G1156" s="111"/>
    </row>
    <row r="1157" spans="1:7" ht="10.5" customHeight="1" x14ac:dyDescent="0.25">
      <c r="A1157" s="159"/>
      <c r="B1157" s="119"/>
      <c r="C1157" s="592"/>
      <c r="D1157" s="778"/>
      <c r="E1157" s="117"/>
      <c r="F1157" s="114"/>
      <c r="G1157" s="111"/>
    </row>
    <row r="1158" spans="1:7" s="115" customFormat="1" ht="20.100000000000001" customHeight="1" x14ac:dyDescent="0.25">
      <c r="A1158" s="159"/>
      <c r="B1158" s="48" t="s">
        <v>2144</v>
      </c>
      <c r="C1158" s="125">
        <f>SUM(C1159:C1161)</f>
        <v>1750000000</v>
      </c>
      <c r="D1158" s="779">
        <f>+D1159</f>
        <v>1200000000</v>
      </c>
      <c r="E1158" s="114">
        <f>D1158/C1158*100</f>
        <v>68.571428571428569</v>
      </c>
      <c r="F1158" s="114">
        <f>(F1159+F1160+F1161)/2</f>
        <v>50</v>
      </c>
      <c r="G1158" s="121"/>
    </row>
    <row r="1159" spans="1:7" ht="20.100000000000001" customHeight="1" x14ac:dyDescent="0.25">
      <c r="A1159" s="159"/>
      <c r="B1159" s="111" t="s">
        <v>4022</v>
      </c>
      <c r="C1159" s="582">
        <v>1200000000</v>
      </c>
      <c r="D1159" s="790">
        <v>1200000000</v>
      </c>
      <c r="E1159" s="379">
        <v>100</v>
      </c>
      <c r="F1159" s="379">
        <v>100</v>
      </c>
      <c r="G1159" s="111"/>
    </row>
    <row r="1160" spans="1:7" ht="20.100000000000001" customHeight="1" x14ac:dyDescent="0.25">
      <c r="A1160" s="159"/>
      <c r="B1160" s="111" t="s">
        <v>4023</v>
      </c>
      <c r="C1160" s="582">
        <v>400000000</v>
      </c>
      <c r="D1160" s="778"/>
      <c r="E1160" s="117"/>
      <c r="F1160" s="114"/>
      <c r="G1160" s="111"/>
    </row>
    <row r="1161" spans="1:7" ht="20.100000000000001" customHeight="1" x14ac:dyDescent="0.25">
      <c r="A1161" s="159"/>
      <c r="B1161" s="111" t="s">
        <v>4024</v>
      </c>
      <c r="C1161" s="582">
        <v>150000000</v>
      </c>
      <c r="D1161" s="778"/>
      <c r="E1161" s="117"/>
      <c r="F1161" s="114"/>
      <c r="G1161" s="111"/>
    </row>
    <row r="1162" spans="1:7" ht="20.25" customHeight="1" x14ac:dyDescent="0.25">
      <c r="A1162" s="159"/>
      <c r="B1162" s="32"/>
      <c r="C1162" s="582"/>
      <c r="D1162" s="778"/>
      <c r="E1162" s="117"/>
      <c r="F1162" s="117"/>
      <c r="G1162" s="111"/>
    </row>
    <row r="1163" spans="1:7" ht="20.100000000000001" customHeight="1" x14ac:dyDescent="0.25">
      <c r="A1163" s="159">
        <v>23</v>
      </c>
      <c r="B1163" s="121" t="s">
        <v>3293</v>
      </c>
      <c r="C1163" s="125">
        <f>C1164+C1186</f>
        <v>40426985500</v>
      </c>
      <c r="D1163" s="779">
        <f>+D1164+D1186</f>
        <v>30967381100</v>
      </c>
      <c r="E1163" s="114">
        <f>+E1164</f>
        <v>94.952109395953286</v>
      </c>
      <c r="F1163" s="114">
        <f>(F1164+F1186)/2</f>
        <v>99.087440301513311</v>
      </c>
      <c r="G1163" s="111"/>
    </row>
    <row r="1164" spans="1:7" ht="20.100000000000001" customHeight="1" x14ac:dyDescent="0.25">
      <c r="A1164" s="159"/>
      <c r="B1164" s="121" t="s">
        <v>82</v>
      </c>
      <c r="C1164" s="125">
        <f>(C1165+C1172+C1175+C1178+C1181+C1187)</f>
        <v>32331985500</v>
      </c>
      <c r="D1164" s="844">
        <f>+D1165+D1172+D1175+D1178+D1181</f>
        <v>22872381100</v>
      </c>
      <c r="E1164" s="246">
        <f>(E1165+E1172+E1175+E1178+E1181+E1187)/6</f>
        <v>94.952109395953286</v>
      </c>
      <c r="F1164" s="246">
        <f>(F1165+F1172+F1175+F1178+F1181+F1187)/6</f>
        <v>98.174880603026637</v>
      </c>
      <c r="G1164" s="111"/>
    </row>
    <row r="1165" spans="1:7" ht="20.100000000000001" customHeight="1" x14ac:dyDescent="0.25">
      <c r="A1165" s="159"/>
      <c r="B1165" s="48" t="s">
        <v>797</v>
      </c>
      <c r="C1165" s="125">
        <f>SUM(C1166:C1171)</f>
        <v>5249360000</v>
      </c>
      <c r="D1165" s="844">
        <f>SUM(D1166:D1171)</f>
        <v>4066030000</v>
      </c>
      <c r="E1165" s="333">
        <f t="shared" ref="E1165:E1184" si="85">(D1165/C1165)*100</f>
        <v>77.457632930490576</v>
      </c>
      <c r="F1165" s="333">
        <f>(F1166+F1167+F1168+F1169+F1170+F1171)/6</f>
        <v>95.833333333333329</v>
      </c>
      <c r="G1165" s="111"/>
    </row>
    <row r="1166" spans="1:7" ht="20.100000000000001" customHeight="1" x14ac:dyDescent="0.25">
      <c r="A1166" s="159"/>
      <c r="B1166" s="111" t="s">
        <v>3294</v>
      </c>
      <c r="C1166" s="582">
        <v>179500000</v>
      </c>
      <c r="D1166" s="791">
        <v>179000000</v>
      </c>
      <c r="E1166" s="379">
        <f t="shared" si="85"/>
        <v>99.721448467966582</v>
      </c>
      <c r="F1166" s="247">
        <v>100</v>
      </c>
      <c r="G1166" s="111"/>
    </row>
    <row r="1167" spans="1:7" ht="20.100000000000001" customHeight="1" x14ac:dyDescent="0.25">
      <c r="A1167" s="159"/>
      <c r="B1167" s="118" t="s">
        <v>3295</v>
      </c>
      <c r="C1167" s="582">
        <v>720000000</v>
      </c>
      <c r="D1167" s="791">
        <v>720000000</v>
      </c>
      <c r="E1167" s="379">
        <f t="shared" si="85"/>
        <v>100</v>
      </c>
      <c r="F1167" s="334">
        <v>100</v>
      </c>
      <c r="G1167" s="111"/>
    </row>
    <row r="1168" spans="1:7" ht="20.100000000000001" customHeight="1" x14ac:dyDescent="0.25">
      <c r="A1168" s="159"/>
      <c r="B1168" s="118" t="s">
        <v>3296</v>
      </c>
      <c r="C1168" s="582">
        <v>2837640000</v>
      </c>
      <c r="D1168" s="791">
        <v>1692600000</v>
      </c>
      <c r="E1168" s="379">
        <f t="shared" si="85"/>
        <v>59.648158328752068</v>
      </c>
      <c r="F1168" s="247">
        <v>75</v>
      </c>
      <c r="G1168" s="111"/>
    </row>
    <row r="1169" spans="1:7" ht="20.100000000000001" customHeight="1" x14ac:dyDescent="0.25">
      <c r="A1169" s="159"/>
      <c r="B1169" s="118" t="s">
        <v>3297</v>
      </c>
      <c r="C1169" s="582">
        <v>905220000</v>
      </c>
      <c r="D1169" s="791">
        <v>873500000</v>
      </c>
      <c r="E1169" s="379">
        <f t="shared" si="85"/>
        <v>96.495879454718192</v>
      </c>
      <c r="F1169" s="247">
        <v>100</v>
      </c>
      <c r="G1169" s="111"/>
    </row>
    <row r="1170" spans="1:7" ht="20.100000000000001" customHeight="1" x14ac:dyDescent="0.25">
      <c r="A1170" s="159"/>
      <c r="B1170" s="118" t="s">
        <v>3298</v>
      </c>
      <c r="C1170" s="582">
        <v>370000000</v>
      </c>
      <c r="D1170" s="791">
        <v>366300000</v>
      </c>
      <c r="E1170" s="379">
        <f t="shared" si="85"/>
        <v>99</v>
      </c>
      <c r="F1170" s="247">
        <v>100</v>
      </c>
      <c r="G1170" s="111"/>
    </row>
    <row r="1171" spans="1:7" ht="20.100000000000001" customHeight="1" x14ac:dyDescent="0.25">
      <c r="A1171" s="159"/>
      <c r="B1171" s="118" t="s">
        <v>3299</v>
      </c>
      <c r="C1171" s="582">
        <v>237000000</v>
      </c>
      <c r="D1171" s="791">
        <v>234630000</v>
      </c>
      <c r="E1171" s="379">
        <f t="shared" si="85"/>
        <v>99</v>
      </c>
      <c r="F1171" s="247">
        <v>100</v>
      </c>
      <c r="G1171" s="111"/>
    </row>
    <row r="1172" spans="1:7" ht="20.100000000000001" customHeight="1" x14ac:dyDescent="0.25">
      <c r="A1172" s="159"/>
      <c r="B1172" s="48" t="s">
        <v>3300</v>
      </c>
      <c r="C1172" s="125">
        <f>SUM(C1173:C1174)</f>
        <v>1101250000</v>
      </c>
      <c r="D1172" s="844">
        <f>SUM(D1173:D1174)</f>
        <v>1101200000</v>
      </c>
      <c r="E1172" s="333">
        <f t="shared" si="85"/>
        <v>99.995459704880815</v>
      </c>
      <c r="F1172" s="333">
        <f>(F1173+F1174)/2</f>
        <v>100</v>
      </c>
      <c r="G1172" s="111"/>
    </row>
    <row r="1173" spans="1:7" ht="20.100000000000001" customHeight="1" x14ac:dyDescent="0.25">
      <c r="A1173" s="159"/>
      <c r="B1173" s="118" t="s">
        <v>3301</v>
      </c>
      <c r="C1173" s="582">
        <v>240000000</v>
      </c>
      <c r="D1173" s="791">
        <v>240000000</v>
      </c>
      <c r="E1173" s="379">
        <f t="shared" si="85"/>
        <v>100</v>
      </c>
      <c r="F1173" s="247">
        <v>100</v>
      </c>
      <c r="G1173" s="111"/>
    </row>
    <row r="1174" spans="1:7" ht="20.100000000000001" customHeight="1" x14ac:dyDescent="0.25">
      <c r="A1174" s="159"/>
      <c r="B1174" s="118" t="s">
        <v>3302</v>
      </c>
      <c r="C1174" s="582">
        <v>861250000</v>
      </c>
      <c r="D1174" s="791">
        <v>861200000</v>
      </c>
      <c r="E1174" s="379">
        <f t="shared" si="85"/>
        <v>99.994194484760527</v>
      </c>
      <c r="F1174" s="247">
        <v>100</v>
      </c>
      <c r="G1174" s="111"/>
    </row>
    <row r="1175" spans="1:7" ht="20.100000000000001" customHeight="1" x14ac:dyDescent="0.25">
      <c r="A1175" s="159"/>
      <c r="B1175" s="48" t="s">
        <v>3303</v>
      </c>
      <c r="C1175" s="125">
        <f>SUM(C1176:C1177)</f>
        <v>12560805500</v>
      </c>
      <c r="D1175" s="815">
        <f>SUM(D1176:D1177)</f>
        <v>12503201100</v>
      </c>
      <c r="E1175" s="333">
        <f t="shared" si="85"/>
        <v>99.541395653328124</v>
      </c>
      <c r="F1175" s="246">
        <f>(F1176+F1177)/2</f>
        <v>100</v>
      </c>
      <c r="G1175" s="111"/>
    </row>
    <row r="1176" spans="1:7" ht="20.100000000000001" customHeight="1" x14ac:dyDescent="0.25">
      <c r="A1176" s="159"/>
      <c r="B1176" s="32" t="s">
        <v>3304</v>
      </c>
      <c r="C1176" s="582">
        <v>5790000000</v>
      </c>
      <c r="D1176" s="791">
        <v>5790000000</v>
      </c>
      <c r="E1176" s="379">
        <f t="shared" si="85"/>
        <v>100</v>
      </c>
      <c r="F1176" s="247">
        <v>100</v>
      </c>
      <c r="G1176" s="111"/>
    </row>
    <row r="1177" spans="1:7" ht="20.100000000000001" customHeight="1" x14ac:dyDescent="0.25">
      <c r="A1177" s="159"/>
      <c r="B1177" s="119" t="s">
        <v>3305</v>
      </c>
      <c r="C1177" s="582">
        <v>6770805500</v>
      </c>
      <c r="D1177" s="791">
        <v>6713201100</v>
      </c>
      <c r="E1177" s="379">
        <f t="shared" si="85"/>
        <v>99.149223825732406</v>
      </c>
      <c r="F1177" s="247">
        <v>100</v>
      </c>
      <c r="G1177" s="111"/>
    </row>
    <row r="1178" spans="1:7" ht="20.100000000000001" customHeight="1" x14ac:dyDescent="0.25">
      <c r="A1178" s="159"/>
      <c r="B1178" s="48" t="s">
        <v>3306</v>
      </c>
      <c r="C1178" s="125">
        <f>C1179+C1180</f>
        <v>1544800000</v>
      </c>
      <c r="D1178" s="844">
        <f>D1179+D1180</f>
        <v>1440000000</v>
      </c>
      <c r="E1178" s="333">
        <f t="shared" si="85"/>
        <v>93.215950284826505</v>
      </c>
      <c r="F1178" s="246">
        <f>(D1178/C1178)*100</f>
        <v>93.215950284826505</v>
      </c>
      <c r="G1178" s="111"/>
    </row>
    <row r="1179" spans="1:7" ht="20.100000000000001" customHeight="1" x14ac:dyDescent="0.25">
      <c r="A1179" s="159"/>
      <c r="B1179" s="118" t="s">
        <v>3307</v>
      </c>
      <c r="C1179" s="582">
        <v>1440000000</v>
      </c>
      <c r="D1179" s="791">
        <v>1440000000</v>
      </c>
      <c r="E1179" s="379">
        <f t="shared" si="85"/>
        <v>100</v>
      </c>
      <c r="F1179" s="247">
        <v>100</v>
      </c>
      <c r="G1179" s="111"/>
    </row>
    <row r="1180" spans="1:7" ht="20.100000000000001" customHeight="1" x14ac:dyDescent="0.25">
      <c r="A1180" s="159"/>
      <c r="B1180" s="118" t="s">
        <v>3308</v>
      </c>
      <c r="C1180" s="582">
        <v>104800000</v>
      </c>
      <c r="D1180" s="791">
        <v>0</v>
      </c>
      <c r="E1180" s="379">
        <f t="shared" si="85"/>
        <v>0</v>
      </c>
      <c r="F1180" s="247">
        <v>0</v>
      </c>
      <c r="G1180" s="111"/>
    </row>
    <row r="1181" spans="1:7" ht="20.100000000000001" customHeight="1" x14ac:dyDescent="0.25">
      <c r="A1181" s="159"/>
      <c r="B1181" s="335" t="s">
        <v>916</v>
      </c>
      <c r="C1181" s="125">
        <f>SUM(C1182:C1184)</f>
        <v>3780770000</v>
      </c>
      <c r="D1181" s="844">
        <f>SUM(D1182:D1184)</f>
        <v>3761950000</v>
      </c>
      <c r="E1181" s="333">
        <f t="shared" si="85"/>
        <v>99.502217802193741</v>
      </c>
      <c r="F1181" s="246">
        <f>(F1182+F1183+F1184)/3</f>
        <v>100</v>
      </c>
      <c r="G1181" s="111"/>
    </row>
    <row r="1182" spans="1:7" ht="20.100000000000001" customHeight="1" x14ac:dyDescent="0.25">
      <c r="A1182" s="159"/>
      <c r="B1182" s="111" t="s">
        <v>3307</v>
      </c>
      <c r="C1182" s="582">
        <v>1170000000</v>
      </c>
      <c r="D1182" s="791">
        <v>1170000000</v>
      </c>
      <c r="E1182" s="379">
        <f t="shared" si="85"/>
        <v>100</v>
      </c>
      <c r="F1182" s="247">
        <v>100</v>
      </c>
      <c r="G1182" s="111"/>
    </row>
    <row r="1183" spans="1:7" ht="20.100000000000001" customHeight="1" x14ac:dyDescent="0.25">
      <c r="A1183" s="159"/>
      <c r="B1183" s="111" t="s">
        <v>3309</v>
      </c>
      <c r="C1183" s="582">
        <v>68450000</v>
      </c>
      <c r="D1183" s="791">
        <v>68450000</v>
      </c>
      <c r="E1183" s="379">
        <f t="shared" si="85"/>
        <v>100</v>
      </c>
      <c r="F1183" s="247">
        <v>100</v>
      </c>
      <c r="G1183" s="111"/>
    </row>
    <row r="1184" spans="1:7" ht="20.100000000000001" customHeight="1" x14ac:dyDescent="0.25">
      <c r="A1184" s="159"/>
      <c r="B1184" s="111" t="s">
        <v>3310</v>
      </c>
      <c r="C1184" s="582">
        <v>2542320000</v>
      </c>
      <c r="D1184" s="791">
        <v>2523500000</v>
      </c>
      <c r="E1184" s="379">
        <f t="shared" si="85"/>
        <v>99.259731269077065</v>
      </c>
      <c r="F1184" s="247">
        <v>100</v>
      </c>
      <c r="G1184" s="111"/>
    </row>
    <row r="1185" spans="1:30" ht="10.5" customHeight="1" x14ac:dyDescent="0.25">
      <c r="A1185" s="159"/>
      <c r="B1185" s="111"/>
      <c r="C1185" s="582"/>
      <c r="D1185" s="778"/>
      <c r="E1185" s="117"/>
      <c r="F1185" s="114"/>
      <c r="G1185" s="111"/>
    </row>
    <row r="1186" spans="1:30" ht="20.100000000000001" customHeight="1" x14ac:dyDescent="0.25">
      <c r="A1186" s="159"/>
      <c r="B1186" s="48" t="s">
        <v>964</v>
      </c>
      <c r="C1186" s="125">
        <f>C1187</f>
        <v>8095000000</v>
      </c>
      <c r="D1186" s="844">
        <f>D1187</f>
        <v>8095000000</v>
      </c>
      <c r="E1186" s="333">
        <f>+E1187</f>
        <v>100</v>
      </c>
      <c r="F1186" s="246">
        <f>+F1187</f>
        <v>100</v>
      </c>
      <c r="G1186" s="111"/>
    </row>
    <row r="1187" spans="1:30" ht="20.100000000000001" customHeight="1" x14ac:dyDescent="0.25">
      <c r="A1187" s="159"/>
      <c r="B1187" s="335" t="s">
        <v>3311</v>
      </c>
      <c r="C1187" s="125">
        <f>C1188</f>
        <v>8095000000</v>
      </c>
      <c r="D1187" s="826">
        <f>D1188</f>
        <v>8095000000</v>
      </c>
      <c r="E1187" s="379">
        <f>(D1187/C1187)*100</f>
        <v>100</v>
      </c>
      <c r="F1187" s="247">
        <f>F1188</f>
        <v>100</v>
      </c>
      <c r="G1187" s="111"/>
    </row>
    <row r="1188" spans="1:30" ht="20.100000000000001" customHeight="1" x14ac:dyDescent="0.25">
      <c r="A1188" s="159"/>
      <c r="B1188" s="111" t="s">
        <v>3312</v>
      </c>
      <c r="C1188" s="582">
        <v>8095000000</v>
      </c>
      <c r="D1188" s="791">
        <v>8095000000</v>
      </c>
      <c r="E1188" s="379">
        <f>(D1188/C1188)*100</f>
        <v>100</v>
      </c>
      <c r="F1188" s="247">
        <v>100</v>
      </c>
      <c r="G1188" s="111"/>
    </row>
    <row r="1189" spans="1:30" ht="20.25" customHeight="1" x14ac:dyDescent="0.25">
      <c r="A1189" s="159"/>
      <c r="B1189" s="32"/>
      <c r="C1189" s="582"/>
      <c r="D1189" s="778"/>
      <c r="E1189" s="117"/>
      <c r="F1189" s="117"/>
      <c r="G1189" s="111"/>
    </row>
    <row r="1190" spans="1:30" s="105" customFormat="1" ht="20.100000000000001" customHeight="1" x14ac:dyDescent="0.25">
      <c r="A1190" s="159">
        <v>24</v>
      </c>
      <c r="B1190" s="217" t="s">
        <v>3365</v>
      </c>
      <c r="C1190" s="595">
        <f>C1191</f>
        <v>31902825600</v>
      </c>
      <c r="D1190" s="779">
        <f>+D1191</f>
        <v>6713000000</v>
      </c>
      <c r="E1190" s="114">
        <f>+D1190/C1190*100</f>
        <v>21.042023312192136</v>
      </c>
      <c r="F1190" s="114">
        <f>F1191</f>
        <v>30.597222222222225</v>
      </c>
      <c r="G1190" s="121"/>
      <c r="H1190" s="115"/>
      <c r="I1190" s="115"/>
      <c r="J1190" s="115"/>
      <c r="K1190" s="115"/>
      <c r="L1190" s="115"/>
      <c r="M1190" s="115"/>
      <c r="N1190" s="115"/>
      <c r="O1190" s="115"/>
      <c r="P1190" s="115"/>
      <c r="Q1190" s="115"/>
      <c r="R1190" s="115"/>
      <c r="S1190" s="115"/>
      <c r="T1190" s="115"/>
      <c r="U1190" s="115"/>
      <c r="V1190" s="115"/>
      <c r="W1190" s="115"/>
      <c r="X1190" s="115"/>
      <c r="Y1190" s="115"/>
      <c r="Z1190" s="115"/>
      <c r="AA1190" s="115"/>
      <c r="AB1190" s="115"/>
      <c r="AC1190" s="115"/>
      <c r="AD1190" s="115"/>
    </row>
    <row r="1191" spans="1:30" s="104" customFormat="1" ht="20.100000000000001" customHeight="1" x14ac:dyDescent="0.25">
      <c r="A1191" s="159"/>
      <c r="B1191" s="217" t="s">
        <v>1157</v>
      </c>
      <c r="C1191" s="617">
        <f>C1192</f>
        <v>31902825600</v>
      </c>
      <c r="D1191" s="778">
        <f>+D1192</f>
        <v>6713000000</v>
      </c>
      <c r="E1191" s="114">
        <f>+D1191/C1191*100</f>
        <v>21.042023312192136</v>
      </c>
      <c r="F1191" s="114">
        <f>F1192</f>
        <v>30.597222222222225</v>
      </c>
      <c r="G1191" s="111"/>
      <c r="H1191" s="80"/>
      <c r="I1191" s="80"/>
      <c r="J1191" s="80"/>
      <c r="K1191" s="80"/>
      <c r="L1191" s="80"/>
      <c r="M1191" s="80"/>
      <c r="N1191" s="80"/>
      <c r="O1191" s="80"/>
      <c r="P1191" s="80"/>
      <c r="Q1191" s="80"/>
      <c r="R1191" s="80"/>
      <c r="S1191" s="80"/>
      <c r="T1191" s="80"/>
      <c r="U1191" s="80"/>
      <c r="V1191" s="80"/>
      <c r="W1191" s="80"/>
      <c r="X1191" s="80"/>
      <c r="Y1191" s="80"/>
      <c r="Z1191" s="80"/>
      <c r="AA1191" s="80"/>
      <c r="AB1191" s="80"/>
      <c r="AC1191" s="80"/>
      <c r="AD1191" s="80"/>
    </row>
    <row r="1192" spans="1:30" s="104" customFormat="1" ht="20.100000000000001" customHeight="1" x14ac:dyDescent="0.25">
      <c r="A1192" s="159"/>
      <c r="B1192" s="217" t="s">
        <v>82</v>
      </c>
      <c r="C1192" s="595">
        <f>C1193+C1198+C1206+C1209+C1215+C1217</f>
        <v>31902825600</v>
      </c>
      <c r="D1192" s="113">
        <f>+D1193+D1198+D1206+D1209+D1215+D1217</f>
        <v>6713000000</v>
      </c>
      <c r="E1192" s="114">
        <f t="shared" ref="E1192:E1223" si="86">+D1192/C1192*100</f>
        <v>21.042023312192136</v>
      </c>
      <c r="F1192" s="114">
        <f>(F1193+F1198+F1206+F1209+F1215+F1217)/6</f>
        <v>30.597222222222225</v>
      </c>
      <c r="G1192" s="111"/>
      <c r="H1192" s="80"/>
      <c r="I1192" s="80"/>
      <c r="J1192" s="80"/>
      <c r="K1192" s="80"/>
      <c r="L1192" s="80"/>
      <c r="M1192" s="80"/>
      <c r="N1192" s="80"/>
      <c r="O1192" s="80"/>
      <c r="P1192" s="80"/>
      <c r="Q1192" s="80"/>
      <c r="R1192" s="80"/>
      <c r="S1192" s="80"/>
      <c r="T1192" s="80"/>
      <c r="U1192" s="80"/>
      <c r="V1192" s="80"/>
      <c r="W1192" s="80"/>
      <c r="X1192" s="80"/>
      <c r="Y1192" s="80"/>
      <c r="Z1192" s="80"/>
      <c r="AA1192" s="80"/>
      <c r="AB1192" s="80"/>
      <c r="AC1192" s="80"/>
      <c r="AD1192" s="80"/>
    </row>
    <row r="1193" spans="1:30" s="104" customFormat="1" ht="20.100000000000001" customHeight="1" x14ac:dyDescent="0.25">
      <c r="A1193" s="159"/>
      <c r="B1193" s="540" t="s">
        <v>797</v>
      </c>
      <c r="C1193" s="640">
        <v>2336000000</v>
      </c>
      <c r="D1193" s="827">
        <f>D1194:D1194+D1195+D1196+D1197</f>
        <v>600000000</v>
      </c>
      <c r="E1193" s="114">
        <f t="shared" si="86"/>
        <v>25.684931506849317</v>
      </c>
      <c r="F1193" s="246">
        <f>AVERAGE(F1194,F1195,F1196,F1197)</f>
        <v>26.25</v>
      </c>
      <c r="G1193" s="111"/>
      <c r="H1193" s="80"/>
      <c r="I1193" s="80"/>
      <c r="J1193" s="80"/>
      <c r="K1193" s="80"/>
      <c r="L1193" s="80"/>
      <c r="M1193" s="80"/>
      <c r="N1193" s="80"/>
      <c r="O1193" s="80"/>
      <c r="P1193" s="80"/>
      <c r="Q1193" s="80"/>
      <c r="R1193" s="80"/>
      <c r="S1193" s="80"/>
      <c r="T1193" s="80"/>
      <c r="U1193" s="80"/>
      <c r="V1193" s="80"/>
      <c r="W1193" s="80"/>
      <c r="X1193" s="80"/>
      <c r="Y1193" s="80"/>
      <c r="Z1193" s="80"/>
      <c r="AA1193" s="80"/>
      <c r="AB1193" s="80"/>
      <c r="AC1193" s="80"/>
      <c r="AD1193" s="80"/>
    </row>
    <row r="1194" spans="1:30" s="104" customFormat="1" ht="20.100000000000001" customHeight="1" x14ac:dyDescent="0.25">
      <c r="A1194" s="159"/>
      <c r="B1194" s="542" t="s">
        <v>979</v>
      </c>
      <c r="C1194" s="641">
        <v>800000000</v>
      </c>
      <c r="D1194" s="846">
        <v>240000000</v>
      </c>
      <c r="E1194" s="114">
        <f t="shared" si="86"/>
        <v>30</v>
      </c>
      <c r="F1194" s="343">
        <v>35</v>
      </c>
      <c r="G1194" s="111"/>
      <c r="H1194" s="80"/>
      <c r="I1194" s="80"/>
      <c r="J1194" s="80"/>
      <c r="K1194" s="80"/>
      <c r="L1194" s="80"/>
      <c r="M1194" s="80"/>
      <c r="N1194" s="80"/>
      <c r="O1194" s="80"/>
      <c r="P1194" s="80"/>
      <c r="Q1194" s="80"/>
      <c r="R1194" s="80"/>
      <c r="S1194" s="80"/>
      <c r="T1194" s="80"/>
      <c r="U1194" s="80"/>
      <c r="V1194" s="80"/>
      <c r="W1194" s="80"/>
      <c r="X1194" s="80"/>
      <c r="Y1194" s="80"/>
      <c r="Z1194" s="80"/>
      <c r="AA1194" s="80"/>
      <c r="AB1194" s="80"/>
      <c r="AC1194" s="80"/>
      <c r="AD1194" s="80"/>
    </row>
    <row r="1195" spans="1:30" s="104" customFormat="1" ht="20.100000000000001" customHeight="1" x14ac:dyDescent="0.25">
      <c r="A1195" s="159"/>
      <c r="B1195" s="542" t="s">
        <v>2870</v>
      </c>
      <c r="C1195" s="641">
        <v>900000000</v>
      </c>
      <c r="D1195" s="846">
        <v>270000000</v>
      </c>
      <c r="E1195" s="114">
        <f t="shared" si="86"/>
        <v>30</v>
      </c>
      <c r="F1195" s="343">
        <v>35</v>
      </c>
      <c r="G1195" s="111"/>
      <c r="H1195" s="80"/>
      <c r="I1195" s="80"/>
      <c r="J1195" s="80"/>
      <c r="K1195" s="80"/>
      <c r="L1195" s="80"/>
      <c r="M1195" s="80"/>
      <c r="N1195" s="80"/>
      <c r="O1195" s="80"/>
      <c r="P1195" s="80"/>
      <c r="Q1195" s="80"/>
      <c r="R1195" s="80"/>
      <c r="S1195" s="80"/>
      <c r="T1195" s="80"/>
      <c r="U1195" s="80"/>
      <c r="V1195" s="80"/>
      <c r="W1195" s="80"/>
      <c r="X1195" s="80"/>
      <c r="Y1195" s="80"/>
      <c r="Z1195" s="80"/>
      <c r="AA1195" s="80"/>
      <c r="AB1195" s="80"/>
      <c r="AC1195" s="80"/>
      <c r="AD1195" s="80"/>
    </row>
    <row r="1196" spans="1:30" s="104" customFormat="1" ht="20.100000000000001" customHeight="1" x14ac:dyDescent="0.25">
      <c r="A1196" s="159"/>
      <c r="B1196" s="542" t="s">
        <v>3366</v>
      </c>
      <c r="C1196" s="641">
        <v>336000000</v>
      </c>
      <c r="D1196" s="846">
        <v>50000000</v>
      </c>
      <c r="E1196" s="114">
        <f t="shared" si="86"/>
        <v>14.880952380952381</v>
      </c>
      <c r="F1196" s="247">
        <v>20</v>
      </c>
      <c r="G1196" s="111"/>
      <c r="H1196" s="80"/>
      <c r="I1196" s="80"/>
      <c r="J1196" s="80"/>
      <c r="K1196" s="80"/>
      <c r="L1196" s="80"/>
      <c r="M1196" s="80"/>
      <c r="N1196" s="80"/>
      <c r="O1196" s="80"/>
      <c r="P1196" s="80"/>
      <c r="Q1196" s="80"/>
      <c r="R1196" s="80"/>
      <c r="S1196" s="80"/>
      <c r="T1196" s="80"/>
      <c r="U1196" s="80"/>
      <c r="V1196" s="80"/>
      <c r="W1196" s="80"/>
      <c r="X1196" s="80"/>
      <c r="Y1196" s="80"/>
      <c r="Z1196" s="80"/>
      <c r="AA1196" s="80"/>
      <c r="AB1196" s="80"/>
      <c r="AC1196" s="80"/>
      <c r="AD1196" s="80"/>
    </row>
    <row r="1197" spans="1:30" s="104" customFormat="1" ht="20.100000000000001" customHeight="1" x14ac:dyDescent="0.25">
      <c r="A1197" s="159"/>
      <c r="B1197" s="542" t="s">
        <v>3367</v>
      </c>
      <c r="C1197" s="641">
        <v>300000000</v>
      </c>
      <c r="D1197" s="846">
        <v>40000000</v>
      </c>
      <c r="E1197" s="114">
        <f t="shared" si="86"/>
        <v>13.333333333333334</v>
      </c>
      <c r="F1197" s="247">
        <v>15</v>
      </c>
      <c r="G1197" s="111"/>
      <c r="H1197" s="80"/>
      <c r="I1197" s="80"/>
      <c r="J1197" s="80"/>
      <c r="K1197" s="80"/>
      <c r="L1197" s="80"/>
      <c r="M1197" s="80"/>
      <c r="N1197" s="80"/>
      <c r="O1197" s="80"/>
      <c r="P1197" s="80"/>
      <c r="Q1197" s="80"/>
      <c r="R1197" s="80"/>
      <c r="S1197" s="80"/>
      <c r="T1197" s="80"/>
      <c r="U1197" s="80"/>
      <c r="V1197" s="80"/>
      <c r="W1197" s="80"/>
      <c r="X1197" s="80"/>
      <c r="Y1197" s="80"/>
      <c r="Z1197" s="80"/>
      <c r="AA1197" s="80"/>
      <c r="AB1197" s="80"/>
      <c r="AC1197" s="80"/>
      <c r="AD1197" s="80"/>
    </row>
    <row r="1198" spans="1:30" s="104" customFormat="1" ht="20.100000000000001" customHeight="1" x14ac:dyDescent="0.25">
      <c r="A1198" s="159"/>
      <c r="B1198" s="540" t="s">
        <v>680</v>
      </c>
      <c r="C1198" s="640">
        <v>7586775000</v>
      </c>
      <c r="D1198" s="827">
        <f>D1199+D1200+D1201+D1202+D1203+D1204+D1205</f>
        <v>564000000</v>
      </c>
      <c r="E1198" s="114">
        <f t="shared" si="86"/>
        <v>7.4339887501606414</v>
      </c>
      <c r="F1198" s="246">
        <v>22</v>
      </c>
      <c r="G1198" s="111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  <c r="R1198" s="80"/>
      <c r="S1198" s="80"/>
      <c r="T1198" s="80"/>
      <c r="U1198" s="80"/>
      <c r="V1198" s="80"/>
      <c r="W1198" s="80"/>
      <c r="X1198" s="80"/>
      <c r="Y1198" s="80"/>
      <c r="Z1198" s="80"/>
      <c r="AA1198" s="80"/>
      <c r="AB1198" s="80"/>
      <c r="AC1198" s="80"/>
      <c r="AD1198" s="80"/>
    </row>
    <row r="1199" spans="1:30" s="104" customFormat="1" ht="20.100000000000001" customHeight="1" x14ac:dyDescent="0.25">
      <c r="A1199" s="159"/>
      <c r="B1199" s="542" t="s">
        <v>979</v>
      </c>
      <c r="C1199" s="641">
        <v>4049275000</v>
      </c>
      <c r="D1199" s="846"/>
      <c r="E1199" s="114">
        <f t="shared" si="86"/>
        <v>0</v>
      </c>
      <c r="F1199" s="247">
        <v>0</v>
      </c>
      <c r="G1199" s="111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  <c r="R1199" s="80"/>
      <c r="S1199" s="80"/>
      <c r="T1199" s="80"/>
      <c r="U1199" s="80"/>
      <c r="V1199" s="80"/>
      <c r="W1199" s="80"/>
      <c r="X1199" s="80"/>
      <c r="Y1199" s="80"/>
      <c r="Z1199" s="80"/>
      <c r="AA1199" s="80"/>
      <c r="AB1199" s="80"/>
      <c r="AC1199" s="80"/>
      <c r="AD1199" s="80"/>
    </row>
    <row r="1200" spans="1:30" s="104" customFormat="1" ht="20.100000000000001" customHeight="1" x14ac:dyDescent="0.25">
      <c r="A1200" s="159"/>
      <c r="B1200" s="542" t="s">
        <v>2870</v>
      </c>
      <c r="C1200" s="641">
        <v>1850000000</v>
      </c>
      <c r="D1200" s="846">
        <v>120000000</v>
      </c>
      <c r="E1200" s="114">
        <f t="shared" si="86"/>
        <v>6.4864864864864868</v>
      </c>
      <c r="F1200" s="247">
        <v>10</v>
      </c>
      <c r="G1200" s="111"/>
      <c r="H1200" s="80"/>
      <c r="I1200" s="80"/>
      <c r="J1200" s="80"/>
      <c r="K1200" s="80"/>
      <c r="L1200" s="80"/>
      <c r="M1200" s="80"/>
      <c r="N1200" s="80"/>
      <c r="O1200" s="80"/>
      <c r="P1200" s="80"/>
      <c r="Q1200" s="80"/>
      <c r="R1200" s="80"/>
      <c r="S1200" s="80"/>
      <c r="T1200" s="80"/>
      <c r="U1200" s="80"/>
      <c r="V1200" s="80"/>
      <c r="W1200" s="80"/>
      <c r="X1200" s="80"/>
      <c r="Y1200" s="80"/>
      <c r="Z1200" s="80"/>
      <c r="AA1200" s="80"/>
      <c r="AB1200" s="80"/>
      <c r="AC1200" s="80"/>
      <c r="AD1200" s="80"/>
    </row>
    <row r="1201" spans="1:30" s="104" customFormat="1" ht="20.100000000000001" customHeight="1" x14ac:dyDescent="0.25">
      <c r="A1201" s="159"/>
      <c r="B1201" s="542" t="s">
        <v>3368</v>
      </c>
      <c r="C1201" s="641">
        <v>250000000</v>
      </c>
      <c r="D1201" s="846">
        <v>75000000</v>
      </c>
      <c r="E1201" s="114">
        <f t="shared" si="86"/>
        <v>30</v>
      </c>
      <c r="F1201" s="247">
        <v>35</v>
      </c>
      <c r="G1201" s="111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  <c r="R1201" s="80"/>
      <c r="S1201" s="80"/>
      <c r="T1201" s="80"/>
      <c r="U1201" s="80"/>
      <c r="V1201" s="80"/>
      <c r="W1201" s="80"/>
      <c r="X1201" s="80"/>
      <c r="Y1201" s="80"/>
      <c r="Z1201" s="80"/>
      <c r="AA1201" s="80"/>
      <c r="AB1201" s="80"/>
      <c r="AC1201" s="80"/>
      <c r="AD1201" s="80"/>
    </row>
    <row r="1202" spans="1:30" s="104" customFormat="1" ht="20.100000000000001" customHeight="1" x14ac:dyDescent="0.25">
      <c r="A1202" s="159"/>
      <c r="B1202" s="542" t="s">
        <v>3369</v>
      </c>
      <c r="C1202" s="641">
        <v>637500000</v>
      </c>
      <c r="D1202" s="846">
        <v>191000000</v>
      </c>
      <c r="E1202" s="114">
        <f t="shared" si="86"/>
        <v>29.96078431372549</v>
      </c>
      <c r="F1202" s="247">
        <v>35</v>
      </c>
      <c r="G1202" s="111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  <c r="R1202" s="80"/>
      <c r="S1202" s="80"/>
      <c r="T1202" s="80"/>
      <c r="U1202" s="80"/>
      <c r="V1202" s="80"/>
      <c r="W1202" s="80"/>
      <c r="X1202" s="80"/>
      <c r="Y1202" s="80"/>
      <c r="Z1202" s="80"/>
      <c r="AA1202" s="80"/>
      <c r="AB1202" s="80"/>
      <c r="AC1202" s="80"/>
      <c r="AD1202" s="80"/>
    </row>
    <row r="1203" spans="1:30" s="104" customFormat="1" ht="20.100000000000001" customHeight="1" x14ac:dyDescent="0.25">
      <c r="A1203" s="159"/>
      <c r="B1203" s="542" t="s">
        <v>3370</v>
      </c>
      <c r="C1203" s="641">
        <v>300000000</v>
      </c>
      <c r="D1203" s="846">
        <v>85000000</v>
      </c>
      <c r="E1203" s="114">
        <f t="shared" si="86"/>
        <v>28.333333333333332</v>
      </c>
      <c r="F1203" s="247">
        <v>30</v>
      </c>
      <c r="G1203" s="111"/>
      <c r="H1203" s="80"/>
      <c r="I1203" s="80"/>
      <c r="J1203" s="80"/>
      <c r="K1203" s="80"/>
      <c r="L1203" s="80"/>
      <c r="M1203" s="80"/>
      <c r="N1203" s="80"/>
      <c r="O1203" s="80"/>
      <c r="P1203" s="80"/>
      <c r="Q1203" s="80"/>
      <c r="R1203" s="80"/>
      <c r="S1203" s="80"/>
      <c r="T1203" s="80"/>
      <c r="U1203" s="80"/>
      <c r="V1203" s="80"/>
      <c r="W1203" s="80"/>
      <c r="X1203" s="80"/>
      <c r="Y1203" s="80"/>
      <c r="Z1203" s="80"/>
      <c r="AA1203" s="80"/>
      <c r="AB1203" s="80"/>
      <c r="AC1203" s="80"/>
      <c r="AD1203" s="80"/>
    </row>
    <row r="1204" spans="1:30" s="104" customFormat="1" ht="20.100000000000001" customHeight="1" x14ac:dyDescent="0.25">
      <c r="A1204" s="159"/>
      <c r="B1204" s="542" t="s">
        <v>3371</v>
      </c>
      <c r="C1204" s="641">
        <v>200000000</v>
      </c>
      <c r="D1204" s="846">
        <v>40000000</v>
      </c>
      <c r="E1204" s="114">
        <f t="shared" si="86"/>
        <v>20</v>
      </c>
      <c r="F1204" s="247">
        <v>25</v>
      </c>
      <c r="G1204" s="111"/>
      <c r="H1204" s="80"/>
      <c r="I1204" s="80"/>
      <c r="J1204" s="80"/>
      <c r="K1204" s="80"/>
      <c r="L1204" s="80"/>
      <c r="M1204" s="80"/>
      <c r="N1204" s="80"/>
      <c r="O1204" s="80"/>
      <c r="P1204" s="80"/>
      <c r="Q1204" s="80"/>
      <c r="R1204" s="80"/>
      <c r="S1204" s="80"/>
      <c r="T1204" s="80"/>
      <c r="U1204" s="80"/>
      <c r="V1204" s="80"/>
      <c r="W1204" s="80"/>
      <c r="X1204" s="80"/>
      <c r="Y1204" s="80"/>
      <c r="Z1204" s="80"/>
      <c r="AA1204" s="80"/>
      <c r="AB1204" s="80"/>
      <c r="AC1204" s="80"/>
      <c r="AD1204" s="80"/>
    </row>
    <row r="1205" spans="1:30" s="104" customFormat="1" ht="20.100000000000001" customHeight="1" x14ac:dyDescent="0.25">
      <c r="A1205" s="159"/>
      <c r="B1205" s="542" t="s">
        <v>3372</v>
      </c>
      <c r="C1205" s="641">
        <v>300000000</v>
      </c>
      <c r="D1205" s="846">
        <v>53000000</v>
      </c>
      <c r="E1205" s="114">
        <f t="shared" si="86"/>
        <v>17.666666666666668</v>
      </c>
      <c r="F1205" s="247">
        <v>20</v>
      </c>
      <c r="G1205" s="111"/>
      <c r="H1205" s="80"/>
      <c r="I1205" s="80"/>
      <c r="J1205" s="80"/>
      <c r="K1205" s="80"/>
      <c r="L1205" s="80"/>
      <c r="M1205" s="80"/>
      <c r="N1205" s="80"/>
      <c r="O1205" s="80"/>
      <c r="P1205" s="80"/>
      <c r="Q1205" s="80"/>
      <c r="R1205" s="80"/>
      <c r="S1205" s="80"/>
      <c r="T1205" s="80"/>
      <c r="U1205" s="80"/>
      <c r="V1205" s="80"/>
      <c r="W1205" s="80"/>
      <c r="X1205" s="80"/>
      <c r="Y1205" s="80"/>
      <c r="Z1205" s="80"/>
      <c r="AA1205" s="80"/>
      <c r="AB1205" s="80"/>
      <c r="AC1205" s="80"/>
      <c r="AD1205" s="80"/>
    </row>
    <row r="1206" spans="1:30" s="104" customFormat="1" ht="20.100000000000001" customHeight="1" x14ac:dyDescent="0.25">
      <c r="A1206" s="159"/>
      <c r="B1206" s="540" t="s">
        <v>92</v>
      </c>
      <c r="C1206" s="640">
        <v>556000000</v>
      </c>
      <c r="D1206" s="827">
        <f>D1207+D1208</f>
        <v>166000000</v>
      </c>
      <c r="E1206" s="114">
        <f t="shared" si="86"/>
        <v>29.856115107913666</v>
      </c>
      <c r="F1206" s="246">
        <v>35</v>
      </c>
      <c r="G1206" s="111"/>
      <c r="H1206" s="80"/>
      <c r="I1206" s="80"/>
      <c r="J1206" s="80"/>
      <c r="K1206" s="80"/>
      <c r="L1206" s="80"/>
      <c r="M1206" s="80"/>
      <c r="N1206" s="80"/>
      <c r="O1206" s="80"/>
      <c r="P1206" s="80"/>
      <c r="Q1206" s="80"/>
      <c r="R1206" s="80"/>
      <c r="S1206" s="80"/>
      <c r="T1206" s="80"/>
      <c r="U1206" s="80"/>
      <c r="V1206" s="80"/>
      <c r="W1206" s="80"/>
      <c r="X1206" s="80"/>
      <c r="Y1206" s="80"/>
      <c r="Z1206" s="80"/>
      <c r="AA1206" s="80"/>
      <c r="AB1206" s="80"/>
      <c r="AC1206" s="80"/>
      <c r="AD1206" s="80"/>
    </row>
    <row r="1207" spans="1:30" s="104" customFormat="1" ht="20.100000000000001" customHeight="1" x14ac:dyDescent="0.25">
      <c r="A1207" s="159"/>
      <c r="B1207" s="542" t="s">
        <v>1002</v>
      </c>
      <c r="C1207" s="641">
        <v>306000000</v>
      </c>
      <c r="D1207" s="846">
        <v>91000000</v>
      </c>
      <c r="E1207" s="114">
        <f t="shared" si="86"/>
        <v>29.738562091503269</v>
      </c>
      <c r="F1207" s="247">
        <v>35</v>
      </c>
      <c r="G1207" s="111"/>
      <c r="H1207" s="80"/>
      <c r="I1207" s="80"/>
      <c r="J1207" s="80"/>
      <c r="K1207" s="80"/>
      <c r="L1207" s="80"/>
      <c r="M1207" s="80"/>
      <c r="N1207" s="80"/>
      <c r="O1207" s="80"/>
      <c r="P1207" s="80"/>
      <c r="Q1207" s="80"/>
      <c r="R1207" s="80"/>
      <c r="S1207" s="80"/>
      <c r="T1207" s="80"/>
      <c r="U1207" s="80"/>
      <c r="V1207" s="80"/>
      <c r="W1207" s="80"/>
      <c r="X1207" s="80"/>
      <c r="Y1207" s="80"/>
      <c r="Z1207" s="80"/>
      <c r="AA1207" s="80"/>
      <c r="AB1207" s="80"/>
      <c r="AC1207" s="80"/>
      <c r="AD1207" s="80"/>
    </row>
    <row r="1208" spans="1:30" s="104" customFormat="1" ht="20.100000000000001" customHeight="1" x14ac:dyDescent="0.25">
      <c r="A1208" s="159"/>
      <c r="B1208" s="542" t="s">
        <v>3373</v>
      </c>
      <c r="C1208" s="641">
        <v>250000000</v>
      </c>
      <c r="D1208" s="846">
        <v>75000000</v>
      </c>
      <c r="E1208" s="114">
        <f t="shared" si="86"/>
        <v>30</v>
      </c>
      <c r="F1208" s="247">
        <v>35</v>
      </c>
      <c r="G1208" s="111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  <c r="R1208" s="80"/>
      <c r="S1208" s="80"/>
      <c r="T1208" s="80"/>
      <c r="U1208" s="80"/>
      <c r="V1208" s="80"/>
      <c r="W1208" s="80"/>
      <c r="X1208" s="80"/>
      <c r="Y1208" s="80"/>
      <c r="Z1208" s="80"/>
      <c r="AA1208" s="80"/>
      <c r="AB1208" s="80"/>
      <c r="AC1208" s="80"/>
      <c r="AD1208" s="80"/>
    </row>
    <row r="1209" spans="1:30" s="104" customFormat="1" ht="20.100000000000001" customHeight="1" x14ac:dyDescent="0.25">
      <c r="A1209" s="159"/>
      <c r="B1209" s="540" t="s">
        <v>100</v>
      </c>
      <c r="C1209" s="640">
        <v>4207500000</v>
      </c>
      <c r="D1209" s="827">
        <f>D1210+D1211+D1212+D1213+D1214</f>
        <v>2417000000</v>
      </c>
      <c r="E1209" s="114">
        <f t="shared" si="86"/>
        <v>57.445038621509212</v>
      </c>
      <c r="F1209" s="246">
        <v>42</v>
      </c>
      <c r="G1209" s="111"/>
      <c r="H1209" s="80"/>
      <c r="I1209" s="80"/>
      <c r="J1209" s="80"/>
      <c r="K1209" s="80"/>
      <c r="L1209" s="80"/>
      <c r="M1209" s="80"/>
      <c r="N1209" s="80"/>
      <c r="O1209" s="80"/>
      <c r="P1209" s="80"/>
      <c r="Q1209" s="80"/>
      <c r="R1209" s="80"/>
      <c r="S1209" s="80"/>
      <c r="T1209" s="80"/>
      <c r="U1209" s="80"/>
      <c r="V1209" s="80"/>
      <c r="W1209" s="80"/>
      <c r="X1209" s="80"/>
      <c r="Y1209" s="80"/>
      <c r="Z1209" s="80"/>
      <c r="AA1209" s="80"/>
      <c r="AB1209" s="80"/>
      <c r="AC1209" s="80"/>
      <c r="AD1209" s="80"/>
    </row>
    <row r="1210" spans="1:30" s="104" customFormat="1" ht="20.100000000000001" customHeight="1" x14ac:dyDescent="0.25">
      <c r="A1210" s="159"/>
      <c r="B1210" s="542" t="s">
        <v>3192</v>
      </c>
      <c r="C1210" s="641">
        <v>400000000</v>
      </c>
      <c r="D1210" s="846">
        <v>120000000</v>
      </c>
      <c r="E1210" s="114">
        <f t="shared" si="86"/>
        <v>30</v>
      </c>
      <c r="F1210" s="247">
        <v>35</v>
      </c>
      <c r="G1210" s="111"/>
      <c r="H1210" s="80"/>
      <c r="I1210" s="80"/>
      <c r="J1210" s="80"/>
      <c r="K1210" s="80"/>
      <c r="L1210" s="80"/>
      <c r="M1210" s="80"/>
      <c r="N1210" s="80"/>
      <c r="O1210" s="80"/>
      <c r="P1210" s="80"/>
      <c r="Q1210" s="80"/>
      <c r="R1210" s="80"/>
      <c r="S1210" s="80"/>
      <c r="T1210" s="80"/>
      <c r="U1210" s="80"/>
      <c r="V1210" s="80"/>
      <c r="W1210" s="80"/>
      <c r="X1210" s="80"/>
      <c r="Y1210" s="80"/>
      <c r="Z1210" s="80"/>
      <c r="AA1210" s="80"/>
      <c r="AB1210" s="80"/>
      <c r="AC1210" s="80"/>
      <c r="AD1210" s="80"/>
    </row>
    <row r="1211" spans="1:30" s="104" customFormat="1" ht="20.100000000000001" customHeight="1" x14ac:dyDescent="0.25">
      <c r="A1211" s="159"/>
      <c r="B1211" s="542" t="s">
        <v>3374</v>
      </c>
      <c r="C1211" s="641">
        <v>300000000</v>
      </c>
      <c r="D1211" s="846">
        <v>90000000</v>
      </c>
      <c r="E1211" s="114">
        <f t="shared" si="86"/>
        <v>30</v>
      </c>
      <c r="F1211" s="247">
        <v>35</v>
      </c>
      <c r="G1211" s="111"/>
      <c r="H1211" s="80"/>
      <c r="I1211" s="80"/>
      <c r="J1211" s="80"/>
      <c r="K1211" s="80"/>
      <c r="L1211" s="80"/>
      <c r="M1211" s="80"/>
      <c r="N1211" s="80"/>
      <c r="O1211" s="80"/>
      <c r="P1211" s="80"/>
      <c r="Q1211" s="80"/>
      <c r="R1211" s="80"/>
      <c r="S1211" s="80"/>
      <c r="T1211" s="80"/>
      <c r="U1211" s="80"/>
      <c r="V1211" s="80"/>
      <c r="W1211" s="80"/>
      <c r="X1211" s="80"/>
      <c r="Y1211" s="80"/>
      <c r="Z1211" s="80"/>
      <c r="AA1211" s="80"/>
      <c r="AB1211" s="80"/>
      <c r="AC1211" s="80"/>
      <c r="AD1211" s="80"/>
    </row>
    <row r="1212" spans="1:30" s="104" customFormat="1" ht="20.100000000000001" customHeight="1" x14ac:dyDescent="0.25">
      <c r="A1212" s="159"/>
      <c r="B1212" s="542" t="s">
        <v>1010</v>
      </c>
      <c r="C1212" s="641">
        <v>200000000</v>
      </c>
      <c r="D1212" s="846">
        <v>60000000</v>
      </c>
      <c r="E1212" s="114">
        <f t="shared" si="86"/>
        <v>30</v>
      </c>
      <c r="F1212" s="247">
        <v>35</v>
      </c>
      <c r="G1212" s="111"/>
      <c r="H1212" s="80"/>
      <c r="I1212" s="80"/>
      <c r="J1212" s="80"/>
      <c r="K1212" s="80"/>
      <c r="L1212" s="80"/>
      <c r="M1212" s="80"/>
      <c r="N1212" s="80"/>
      <c r="O1212" s="80"/>
      <c r="P1212" s="80"/>
      <c r="Q1212" s="80"/>
      <c r="R1212" s="80"/>
      <c r="S1212" s="80"/>
      <c r="T1212" s="80"/>
      <c r="U1212" s="80"/>
      <c r="V1212" s="80"/>
      <c r="W1212" s="80"/>
      <c r="X1212" s="80"/>
      <c r="Y1212" s="80"/>
      <c r="Z1212" s="80"/>
      <c r="AA1212" s="80"/>
      <c r="AB1212" s="80"/>
      <c r="AC1212" s="80"/>
      <c r="AD1212" s="80"/>
    </row>
    <row r="1213" spans="1:30" s="104" customFormat="1" ht="20.100000000000001" customHeight="1" x14ac:dyDescent="0.25">
      <c r="A1213" s="159"/>
      <c r="B1213" s="542" t="s">
        <v>3375</v>
      </c>
      <c r="C1213" s="641">
        <v>157500000</v>
      </c>
      <c r="D1213" s="846">
        <v>47000000</v>
      </c>
      <c r="E1213" s="114">
        <f t="shared" si="86"/>
        <v>29.841269841269842</v>
      </c>
      <c r="F1213" s="247">
        <v>35</v>
      </c>
      <c r="G1213" s="111"/>
      <c r="H1213" s="80"/>
      <c r="I1213" s="80"/>
      <c r="J1213" s="80"/>
      <c r="K1213" s="80"/>
      <c r="L1213" s="80"/>
      <c r="M1213" s="80"/>
      <c r="N1213" s="80"/>
      <c r="O1213" s="80"/>
      <c r="P1213" s="80"/>
      <c r="Q1213" s="80"/>
      <c r="R1213" s="80"/>
      <c r="S1213" s="80"/>
      <c r="T1213" s="80"/>
      <c r="U1213" s="80"/>
      <c r="V1213" s="80"/>
      <c r="W1213" s="80"/>
      <c r="X1213" s="80"/>
      <c r="Y1213" s="80"/>
      <c r="Z1213" s="80"/>
      <c r="AA1213" s="80"/>
      <c r="AB1213" s="80"/>
      <c r="AC1213" s="80"/>
      <c r="AD1213" s="80"/>
    </row>
    <row r="1214" spans="1:30" s="104" customFormat="1" ht="20.100000000000001" customHeight="1" x14ac:dyDescent="0.25">
      <c r="A1214" s="159"/>
      <c r="B1214" s="542" t="s">
        <v>3376</v>
      </c>
      <c r="C1214" s="641">
        <v>3150000000</v>
      </c>
      <c r="D1214" s="846">
        <v>2100000000</v>
      </c>
      <c r="E1214" s="114">
        <f t="shared" si="86"/>
        <v>66.666666666666657</v>
      </c>
      <c r="F1214" s="247">
        <v>70</v>
      </c>
      <c r="G1214" s="111"/>
      <c r="H1214" s="80"/>
      <c r="I1214" s="80"/>
      <c r="J1214" s="80"/>
      <c r="K1214" s="80"/>
      <c r="L1214" s="80"/>
      <c r="M1214" s="80"/>
      <c r="N1214" s="80"/>
      <c r="O1214" s="80"/>
      <c r="P1214" s="80"/>
      <c r="Q1214" s="80"/>
      <c r="R1214" s="80"/>
      <c r="S1214" s="80"/>
      <c r="T1214" s="80"/>
      <c r="U1214" s="80"/>
      <c r="V1214" s="80"/>
      <c r="W1214" s="80"/>
      <c r="X1214" s="80"/>
      <c r="Y1214" s="80"/>
      <c r="Z1214" s="80"/>
      <c r="AA1214" s="80"/>
      <c r="AB1214" s="80"/>
      <c r="AC1214" s="80"/>
      <c r="AD1214" s="80"/>
    </row>
    <row r="1215" spans="1:30" s="104" customFormat="1" ht="20.100000000000001" customHeight="1" x14ac:dyDescent="0.25">
      <c r="A1215" s="159"/>
      <c r="B1215" s="540" t="s">
        <v>109</v>
      </c>
      <c r="C1215" s="640">
        <v>550000000</v>
      </c>
      <c r="D1215" s="827">
        <f>D1216</f>
        <v>165000000</v>
      </c>
      <c r="E1215" s="114">
        <f t="shared" si="86"/>
        <v>30</v>
      </c>
      <c r="F1215" s="246">
        <v>35</v>
      </c>
      <c r="G1215" s="111"/>
      <c r="H1215" s="80"/>
      <c r="I1215" s="80"/>
      <c r="J1215" s="80"/>
      <c r="K1215" s="80"/>
      <c r="L1215" s="80"/>
      <c r="M1215" s="80"/>
      <c r="N1215" s="80"/>
      <c r="O1215" s="80"/>
      <c r="P1215" s="80"/>
      <c r="Q1215" s="80"/>
      <c r="R1215" s="80"/>
      <c r="S1215" s="80"/>
      <c r="T1215" s="80"/>
      <c r="U1215" s="80"/>
      <c r="V1215" s="80"/>
      <c r="W1215" s="80"/>
      <c r="X1215" s="80"/>
      <c r="Y1215" s="80"/>
      <c r="Z1215" s="80"/>
      <c r="AA1215" s="80"/>
      <c r="AB1215" s="80"/>
      <c r="AC1215" s="80"/>
      <c r="AD1215" s="80"/>
    </row>
    <row r="1216" spans="1:30" s="104" customFormat="1" ht="20.100000000000001" customHeight="1" x14ac:dyDescent="0.25">
      <c r="A1216" s="159"/>
      <c r="B1216" s="542" t="s">
        <v>3377</v>
      </c>
      <c r="C1216" s="641">
        <v>550000000</v>
      </c>
      <c r="D1216" s="846">
        <v>165000000</v>
      </c>
      <c r="E1216" s="114">
        <f t="shared" si="86"/>
        <v>30</v>
      </c>
      <c r="F1216" s="247">
        <v>35</v>
      </c>
      <c r="G1216" s="111"/>
      <c r="H1216" s="80"/>
      <c r="I1216" s="80"/>
      <c r="J1216" s="80"/>
      <c r="K1216" s="80"/>
      <c r="L1216" s="80"/>
      <c r="M1216" s="80"/>
      <c r="N1216" s="80"/>
      <c r="O1216" s="80"/>
      <c r="P1216" s="80"/>
      <c r="Q1216" s="80"/>
      <c r="R1216" s="80"/>
      <c r="S1216" s="80"/>
      <c r="T1216" s="80"/>
      <c r="U1216" s="80"/>
      <c r="V1216" s="80"/>
      <c r="W1216" s="80"/>
      <c r="X1216" s="80"/>
      <c r="Y1216" s="80"/>
      <c r="Z1216" s="80"/>
      <c r="AA1216" s="80"/>
      <c r="AB1216" s="80"/>
      <c r="AC1216" s="80"/>
      <c r="AD1216" s="80"/>
    </row>
    <row r="1217" spans="1:30" s="104" customFormat="1" ht="20.100000000000001" customHeight="1" x14ac:dyDescent="0.25">
      <c r="A1217" s="159"/>
      <c r="B1217" s="540" t="s">
        <v>3378</v>
      </c>
      <c r="C1217" s="640">
        <v>16666550600</v>
      </c>
      <c r="D1217" s="827">
        <f>D1218+D1219+D1220+D1221+D1222+D1223</f>
        <v>2801000000</v>
      </c>
      <c r="E1217" s="114">
        <f t="shared" si="86"/>
        <v>16.806117037799051</v>
      </c>
      <c r="F1217" s="246">
        <f>AVERAGE(F1218,F1219,F1220,F1221,F1222,F1223)</f>
        <v>23.333333333333332</v>
      </c>
      <c r="G1217" s="111"/>
      <c r="H1217" s="80"/>
      <c r="I1217" s="80"/>
      <c r="J1217" s="80"/>
      <c r="K1217" s="80"/>
      <c r="L1217" s="80"/>
      <c r="M1217" s="80"/>
      <c r="N1217" s="80"/>
      <c r="O1217" s="80"/>
      <c r="P1217" s="80"/>
      <c r="Q1217" s="80"/>
      <c r="R1217" s="80"/>
      <c r="S1217" s="80"/>
      <c r="T1217" s="80"/>
      <c r="U1217" s="80"/>
      <c r="V1217" s="80"/>
      <c r="W1217" s="80"/>
      <c r="X1217" s="80"/>
      <c r="Y1217" s="80"/>
      <c r="Z1217" s="80"/>
      <c r="AA1217" s="80"/>
      <c r="AB1217" s="80"/>
      <c r="AC1217" s="80"/>
      <c r="AD1217" s="80"/>
    </row>
    <row r="1218" spans="1:30" s="104" customFormat="1" ht="20.100000000000001" customHeight="1" x14ac:dyDescent="0.25">
      <c r="A1218" s="159"/>
      <c r="B1218" s="542" t="s">
        <v>3379</v>
      </c>
      <c r="C1218" s="641">
        <v>2500000000</v>
      </c>
      <c r="D1218" s="846">
        <v>750000000</v>
      </c>
      <c r="E1218" s="114">
        <f t="shared" si="86"/>
        <v>30</v>
      </c>
      <c r="F1218" s="247">
        <v>35</v>
      </c>
      <c r="G1218" s="111"/>
      <c r="H1218" s="80"/>
      <c r="I1218" s="80"/>
      <c r="J1218" s="80"/>
      <c r="K1218" s="80"/>
      <c r="L1218" s="80"/>
      <c r="M1218" s="80"/>
      <c r="N1218" s="80"/>
      <c r="O1218" s="80"/>
      <c r="P1218" s="80"/>
      <c r="Q1218" s="80"/>
      <c r="R1218" s="80"/>
      <c r="S1218" s="80"/>
      <c r="T1218" s="80"/>
      <c r="U1218" s="80"/>
      <c r="V1218" s="80"/>
      <c r="W1218" s="80"/>
      <c r="X1218" s="80"/>
      <c r="Y1218" s="80"/>
      <c r="Z1218" s="80"/>
      <c r="AA1218" s="80"/>
      <c r="AB1218" s="80"/>
      <c r="AC1218" s="80"/>
      <c r="AD1218" s="80"/>
    </row>
    <row r="1219" spans="1:30" s="104" customFormat="1" ht="20.100000000000001" customHeight="1" x14ac:dyDescent="0.25">
      <c r="A1219" s="159"/>
      <c r="B1219" s="542" t="s">
        <v>3380</v>
      </c>
      <c r="C1219" s="641">
        <v>3200000000</v>
      </c>
      <c r="D1219" s="846">
        <v>960000000</v>
      </c>
      <c r="E1219" s="114">
        <f t="shared" si="86"/>
        <v>30</v>
      </c>
      <c r="F1219" s="247">
        <v>35</v>
      </c>
      <c r="G1219" s="111"/>
      <c r="H1219" s="80"/>
      <c r="I1219" s="80"/>
      <c r="J1219" s="80"/>
      <c r="K1219" s="80"/>
      <c r="L1219" s="80"/>
      <c r="M1219" s="80"/>
      <c r="N1219" s="80"/>
      <c r="O1219" s="80"/>
      <c r="P1219" s="80"/>
      <c r="Q1219" s="80"/>
      <c r="R1219" s="80"/>
      <c r="S1219" s="80"/>
      <c r="T1219" s="80"/>
      <c r="U1219" s="80"/>
      <c r="V1219" s="80"/>
      <c r="W1219" s="80"/>
      <c r="X1219" s="80"/>
      <c r="Y1219" s="80"/>
      <c r="Z1219" s="80"/>
      <c r="AA1219" s="80"/>
      <c r="AB1219" s="80"/>
      <c r="AC1219" s="80"/>
      <c r="AD1219" s="80"/>
    </row>
    <row r="1220" spans="1:30" s="104" customFormat="1" ht="20.100000000000001" customHeight="1" x14ac:dyDescent="0.25">
      <c r="A1220" s="159"/>
      <c r="B1220" s="542" t="s">
        <v>3381</v>
      </c>
      <c r="C1220" s="641">
        <v>1750000000</v>
      </c>
      <c r="D1220" s="846">
        <v>500000000</v>
      </c>
      <c r="E1220" s="114">
        <f t="shared" si="86"/>
        <v>28.571428571428569</v>
      </c>
      <c r="F1220" s="247">
        <v>30</v>
      </c>
      <c r="G1220" s="111"/>
      <c r="H1220" s="80"/>
      <c r="I1220" s="80"/>
      <c r="J1220" s="80"/>
      <c r="K1220" s="80"/>
      <c r="L1220" s="80"/>
      <c r="M1220" s="80"/>
      <c r="N1220" s="80"/>
      <c r="O1220" s="80"/>
      <c r="P1220" s="80"/>
      <c r="Q1220" s="80"/>
      <c r="R1220" s="80"/>
      <c r="S1220" s="80"/>
      <c r="T1220" s="80"/>
      <c r="U1220" s="80"/>
      <c r="V1220" s="80"/>
      <c r="W1220" s="80"/>
      <c r="X1220" s="80"/>
      <c r="Y1220" s="80"/>
      <c r="Z1220" s="80"/>
      <c r="AA1220" s="80"/>
      <c r="AB1220" s="80"/>
      <c r="AC1220" s="80"/>
      <c r="AD1220" s="80"/>
    </row>
    <row r="1221" spans="1:30" s="104" customFormat="1" ht="20.100000000000001" customHeight="1" x14ac:dyDescent="0.25">
      <c r="A1221" s="159"/>
      <c r="B1221" s="542" t="s">
        <v>3382</v>
      </c>
      <c r="C1221" s="641">
        <v>7500000000</v>
      </c>
      <c r="D1221" s="846">
        <v>302000000</v>
      </c>
      <c r="E1221" s="114">
        <f t="shared" si="86"/>
        <v>4.0266666666666664</v>
      </c>
      <c r="F1221" s="247">
        <v>5</v>
      </c>
      <c r="G1221" s="111"/>
      <c r="H1221" s="80"/>
      <c r="I1221" s="80"/>
      <c r="J1221" s="80"/>
      <c r="K1221" s="80"/>
      <c r="L1221" s="80"/>
      <c r="M1221" s="80"/>
      <c r="N1221" s="80"/>
      <c r="O1221" s="80"/>
      <c r="P1221" s="80"/>
      <c r="Q1221" s="80"/>
      <c r="R1221" s="80"/>
      <c r="S1221" s="80"/>
      <c r="T1221" s="80"/>
      <c r="U1221" s="80"/>
      <c r="V1221" s="80"/>
      <c r="W1221" s="80"/>
      <c r="X1221" s="80"/>
      <c r="Y1221" s="80"/>
      <c r="Z1221" s="80"/>
      <c r="AA1221" s="80"/>
      <c r="AB1221" s="80"/>
      <c r="AC1221" s="80"/>
      <c r="AD1221" s="80"/>
    </row>
    <row r="1222" spans="1:30" s="104" customFormat="1" ht="20.100000000000001" customHeight="1" x14ac:dyDescent="0.25">
      <c r="A1222" s="159"/>
      <c r="B1222" s="542" t="s">
        <v>3383</v>
      </c>
      <c r="C1222" s="641">
        <v>750000000</v>
      </c>
      <c r="D1222" s="846"/>
      <c r="E1222" s="114">
        <f t="shared" si="86"/>
        <v>0</v>
      </c>
      <c r="F1222" s="247">
        <v>0</v>
      </c>
      <c r="G1222" s="111"/>
      <c r="H1222" s="80"/>
      <c r="I1222" s="80"/>
      <c r="J1222" s="80"/>
      <c r="K1222" s="80"/>
      <c r="L1222" s="80"/>
      <c r="M1222" s="80"/>
      <c r="N1222" s="80"/>
      <c r="O1222" s="80"/>
      <c r="P1222" s="80"/>
      <c r="Q1222" s="80"/>
      <c r="R1222" s="80"/>
      <c r="S1222" s="80"/>
      <c r="T1222" s="80"/>
      <c r="U1222" s="80"/>
      <c r="V1222" s="80"/>
      <c r="W1222" s="80"/>
      <c r="X1222" s="80"/>
      <c r="Y1222" s="80"/>
      <c r="Z1222" s="80"/>
      <c r="AA1222" s="80"/>
      <c r="AB1222" s="80"/>
      <c r="AC1222" s="80"/>
      <c r="AD1222" s="80"/>
    </row>
    <row r="1223" spans="1:30" s="104" customFormat="1" ht="20.100000000000001" customHeight="1" x14ac:dyDescent="0.25">
      <c r="A1223" s="159"/>
      <c r="B1223" s="542" t="s">
        <v>3384</v>
      </c>
      <c r="C1223" s="641">
        <v>966550600</v>
      </c>
      <c r="D1223" s="846">
        <v>289000000</v>
      </c>
      <c r="E1223" s="114">
        <f t="shared" si="86"/>
        <v>29.900141803233065</v>
      </c>
      <c r="F1223" s="247">
        <v>35</v>
      </c>
      <c r="G1223" s="111"/>
      <c r="H1223" s="80"/>
      <c r="I1223" s="80"/>
      <c r="J1223" s="80"/>
      <c r="K1223" s="80"/>
      <c r="L1223" s="80"/>
      <c r="M1223" s="80"/>
      <c r="N1223" s="80"/>
      <c r="O1223" s="80"/>
      <c r="P1223" s="80"/>
      <c r="Q1223" s="80"/>
      <c r="R1223" s="80"/>
      <c r="S1223" s="80"/>
      <c r="T1223" s="80"/>
      <c r="U1223" s="80"/>
      <c r="V1223" s="80"/>
      <c r="W1223" s="80"/>
      <c r="X1223" s="80"/>
      <c r="Y1223" s="80"/>
      <c r="Z1223" s="80"/>
      <c r="AA1223" s="80"/>
      <c r="AB1223" s="80"/>
      <c r="AC1223" s="80"/>
      <c r="AD1223" s="80"/>
    </row>
    <row r="1224" spans="1:30" ht="20.25" customHeight="1" x14ac:dyDescent="0.25">
      <c r="A1224" s="159"/>
      <c r="B1224" s="32"/>
      <c r="C1224" s="617"/>
      <c r="D1224" s="778"/>
      <c r="E1224" s="117"/>
      <c r="F1224" s="117"/>
      <c r="G1224" s="111"/>
    </row>
    <row r="1225" spans="1:30" s="115" customFormat="1" ht="20.100000000000001" customHeight="1" x14ac:dyDescent="0.25">
      <c r="A1225" s="159">
        <v>25</v>
      </c>
      <c r="B1225" s="48" t="s">
        <v>3475</v>
      </c>
      <c r="C1225" s="125">
        <f>+C1226+C1241</f>
        <v>36278680400</v>
      </c>
      <c r="D1225" s="789">
        <f>+D1226+D1241</f>
        <v>34939931000</v>
      </c>
      <c r="E1225" s="342">
        <f>+D1225/C1225*100</f>
        <v>96.309817817960109</v>
      </c>
      <c r="F1225" s="342">
        <f>(F1226+F1241)/2</f>
        <v>85.714285714285722</v>
      </c>
      <c r="G1225" s="121"/>
    </row>
    <row r="1226" spans="1:30" ht="20.100000000000001" customHeight="1" x14ac:dyDescent="0.25">
      <c r="A1226" s="159"/>
      <c r="B1226" s="121" t="s">
        <v>3476</v>
      </c>
      <c r="C1226" s="593">
        <f>C1227+C1229+C1236+C1238</f>
        <v>18246180400</v>
      </c>
      <c r="D1226" s="789">
        <f>SUM(D1227,D1229,D1236,D1238)</f>
        <v>18207931000</v>
      </c>
      <c r="E1226" s="342">
        <f>+D1226/C1226*100</f>
        <v>99.790370372530134</v>
      </c>
      <c r="F1226" s="342">
        <f>(SUM(F1227,F1229,F1236,F1238))/4</f>
        <v>100</v>
      </c>
      <c r="G1226" s="111"/>
    </row>
    <row r="1227" spans="1:30" ht="20.100000000000001" customHeight="1" x14ac:dyDescent="0.25">
      <c r="A1227" s="159"/>
      <c r="B1227" s="335" t="s">
        <v>3477</v>
      </c>
      <c r="C1227" s="593">
        <f>C1228</f>
        <v>100000000</v>
      </c>
      <c r="D1227" s="789">
        <f>D1228</f>
        <v>100000000</v>
      </c>
      <c r="E1227" s="342">
        <f t="shared" ref="E1227:E1250" si="87">+D1227/C1227*100</f>
        <v>100</v>
      </c>
      <c r="F1227" s="342">
        <f>F1228</f>
        <v>100</v>
      </c>
      <c r="G1227" s="111"/>
    </row>
    <row r="1228" spans="1:30" ht="20.100000000000001" customHeight="1" x14ac:dyDescent="0.25">
      <c r="A1228" s="159"/>
      <c r="B1228" s="338" t="s">
        <v>985</v>
      </c>
      <c r="C1228" s="617">
        <v>100000000</v>
      </c>
      <c r="D1228" s="790">
        <v>100000000</v>
      </c>
      <c r="E1228" s="342">
        <f t="shared" si="87"/>
        <v>100</v>
      </c>
      <c r="F1228" s="343">
        <v>100</v>
      </c>
      <c r="G1228" s="111"/>
    </row>
    <row r="1229" spans="1:30" ht="20.100000000000001" customHeight="1" x14ac:dyDescent="0.25">
      <c r="A1229" s="159"/>
      <c r="B1229" s="335" t="s">
        <v>3478</v>
      </c>
      <c r="C1229" s="593">
        <f>SUM(C1230:C1235)</f>
        <v>15492780400</v>
      </c>
      <c r="D1229" s="789">
        <f>SUM(D1230:D1235)</f>
        <v>15454531000</v>
      </c>
      <c r="E1229" s="342">
        <f t="shared" si="87"/>
        <v>99.753114683017131</v>
      </c>
      <c r="F1229" s="342">
        <f>SUM(F1230:F1235)/6</f>
        <v>100</v>
      </c>
      <c r="G1229" s="111"/>
    </row>
    <row r="1230" spans="1:30" ht="20.100000000000001" customHeight="1" x14ac:dyDescent="0.25">
      <c r="A1230" s="159"/>
      <c r="B1230" s="338" t="s">
        <v>3479</v>
      </c>
      <c r="C1230" s="617">
        <v>1650000000</v>
      </c>
      <c r="D1230" s="790">
        <v>1645000000</v>
      </c>
      <c r="E1230" s="342">
        <f t="shared" si="87"/>
        <v>99.696969696969688</v>
      </c>
      <c r="F1230" s="343">
        <v>100</v>
      </c>
      <c r="G1230" s="111"/>
    </row>
    <row r="1231" spans="1:30" ht="20.100000000000001" customHeight="1" x14ac:dyDescent="0.25">
      <c r="A1231" s="159"/>
      <c r="B1231" s="339" t="s">
        <v>2870</v>
      </c>
      <c r="C1231" s="617">
        <v>1164000000</v>
      </c>
      <c r="D1231" s="790">
        <v>1161300000</v>
      </c>
      <c r="E1231" s="342">
        <f t="shared" si="87"/>
        <v>99.768041237113408</v>
      </c>
      <c r="F1231" s="343">
        <v>100</v>
      </c>
      <c r="G1231" s="111"/>
    </row>
    <row r="1232" spans="1:30" ht="20.100000000000001" customHeight="1" x14ac:dyDescent="0.25">
      <c r="A1232" s="159"/>
      <c r="B1232" s="339" t="s">
        <v>3480</v>
      </c>
      <c r="C1232" s="617">
        <v>614000000</v>
      </c>
      <c r="D1232" s="790">
        <v>613868000</v>
      </c>
      <c r="E1232" s="342">
        <f t="shared" si="87"/>
        <v>99.978501628664489</v>
      </c>
      <c r="F1232" s="343">
        <v>100</v>
      </c>
      <c r="G1232" s="111"/>
    </row>
    <row r="1233" spans="1:7" ht="20.100000000000001" customHeight="1" x14ac:dyDescent="0.25">
      <c r="A1233" s="159"/>
      <c r="B1233" s="339" t="s">
        <v>3481</v>
      </c>
      <c r="C1233" s="617">
        <v>666600000</v>
      </c>
      <c r="D1233" s="790">
        <v>665386000</v>
      </c>
      <c r="E1233" s="342">
        <f t="shared" si="87"/>
        <v>99.817881788178823</v>
      </c>
      <c r="F1233" s="343">
        <v>100</v>
      </c>
      <c r="G1233" s="111"/>
    </row>
    <row r="1234" spans="1:7" ht="20.100000000000001" customHeight="1" x14ac:dyDescent="0.25">
      <c r="A1234" s="159"/>
      <c r="B1234" s="339" t="s">
        <v>3482</v>
      </c>
      <c r="C1234" s="617">
        <v>8898180400</v>
      </c>
      <c r="D1234" s="790">
        <v>8868977000</v>
      </c>
      <c r="E1234" s="342">
        <f t="shared" si="87"/>
        <v>99.671804810790306</v>
      </c>
      <c r="F1234" s="343">
        <v>100</v>
      </c>
      <c r="G1234" s="111"/>
    </row>
    <row r="1235" spans="1:7" ht="20.100000000000001" customHeight="1" x14ac:dyDescent="0.25">
      <c r="A1235" s="159"/>
      <c r="B1235" s="338" t="s">
        <v>3483</v>
      </c>
      <c r="C1235" s="617">
        <v>2500000000</v>
      </c>
      <c r="D1235" s="790">
        <v>2500000000</v>
      </c>
      <c r="E1235" s="342">
        <f t="shared" si="87"/>
        <v>100</v>
      </c>
      <c r="F1235" s="343">
        <v>100</v>
      </c>
      <c r="G1235" s="111"/>
    </row>
    <row r="1236" spans="1:7" ht="20.100000000000001" customHeight="1" x14ac:dyDescent="0.25">
      <c r="A1236" s="159"/>
      <c r="B1236" s="335" t="s">
        <v>3484</v>
      </c>
      <c r="C1236" s="595">
        <f>C1237</f>
        <v>200000000</v>
      </c>
      <c r="D1236" s="789">
        <f>D1237</f>
        <v>200000000</v>
      </c>
      <c r="E1236" s="342">
        <f t="shared" si="87"/>
        <v>100</v>
      </c>
      <c r="F1236" s="343">
        <v>100</v>
      </c>
      <c r="G1236" s="111"/>
    </row>
    <row r="1237" spans="1:7" ht="20.100000000000001" customHeight="1" x14ac:dyDescent="0.25">
      <c r="A1237" s="159"/>
      <c r="B1237" s="338" t="s">
        <v>3485</v>
      </c>
      <c r="C1237" s="617">
        <v>200000000</v>
      </c>
      <c r="D1237" s="790">
        <v>200000000</v>
      </c>
      <c r="E1237" s="342">
        <f t="shared" si="87"/>
        <v>100</v>
      </c>
      <c r="F1237" s="343">
        <v>100</v>
      </c>
      <c r="G1237" s="111"/>
    </row>
    <row r="1238" spans="1:7" ht="20.100000000000001" customHeight="1" x14ac:dyDescent="0.25">
      <c r="A1238" s="159"/>
      <c r="B1238" s="335" t="s">
        <v>3486</v>
      </c>
      <c r="C1238" s="593">
        <f>C1239</f>
        <v>2453400000</v>
      </c>
      <c r="D1238" s="789">
        <f>D1239</f>
        <v>2453400000</v>
      </c>
      <c r="E1238" s="342">
        <f t="shared" si="87"/>
        <v>100</v>
      </c>
      <c r="F1238" s="343">
        <v>100</v>
      </c>
      <c r="G1238" s="111"/>
    </row>
    <row r="1239" spans="1:7" ht="33" customHeight="1" x14ac:dyDescent="0.25">
      <c r="A1239" s="159"/>
      <c r="B1239" s="339" t="s">
        <v>3487</v>
      </c>
      <c r="C1239" s="617">
        <v>2453400000</v>
      </c>
      <c r="D1239" s="790">
        <v>2453400000</v>
      </c>
      <c r="E1239" s="342">
        <f t="shared" si="87"/>
        <v>100</v>
      </c>
      <c r="F1239" s="343">
        <v>100</v>
      </c>
      <c r="G1239" s="111"/>
    </row>
    <row r="1240" spans="1:7" ht="9" customHeight="1" x14ac:dyDescent="0.25">
      <c r="A1240" s="159"/>
      <c r="B1240" s="339"/>
      <c r="C1240" s="617"/>
      <c r="D1240" s="778"/>
      <c r="E1240" s="342"/>
      <c r="F1240" s="340"/>
      <c r="G1240" s="111"/>
    </row>
    <row r="1241" spans="1:7" ht="20.100000000000001" customHeight="1" x14ac:dyDescent="0.25">
      <c r="A1241" s="159"/>
      <c r="B1241" s="121" t="s">
        <v>3488</v>
      </c>
      <c r="C1241" s="593">
        <f>C1242</f>
        <v>18032500000</v>
      </c>
      <c r="D1241" s="789">
        <f>D1242</f>
        <v>16732000000</v>
      </c>
      <c r="E1241" s="342">
        <f t="shared" si="87"/>
        <v>92.7880216276168</v>
      </c>
      <c r="F1241" s="342">
        <f>F1242</f>
        <v>71.428571428571431</v>
      </c>
      <c r="G1241" s="111"/>
    </row>
    <row r="1242" spans="1:7" ht="20.100000000000001" customHeight="1" x14ac:dyDescent="0.25">
      <c r="A1242" s="159"/>
      <c r="B1242" s="121" t="s">
        <v>3489</v>
      </c>
      <c r="C1242" s="593">
        <f>SUM(C1243:C1250)</f>
        <v>18032500000</v>
      </c>
      <c r="D1242" s="789">
        <f>SUM(D1243:D1250)</f>
        <v>16732000000</v>
      </c>
      <c r="E1242" s="342">
        <f t="shared" si="87"/>
        <v>92.7880216276168</v>
      </c>
      <c r="F1242" s="342">
        <f>SUM(F1243:F1250)/7</f>
        <v>71.428571428571431</v>
      </c>
      <c r="G1242" s="111"/>
    </row>
    <row r="1243" spans="1:7" ht="20.100000000000001" customHeight="1" x14ac:dyDescent="0.25">
      <c r="A1243" s="159"/>
      <c r="B1243" s="338" t="s">
        <v>3490</v>
      </c>
      <c r="C1243" s="592">
        <v>12858000000</v>
      </c>
      <c r="D1243" s="790">
        <v>12858000000</v>
      </c>
      <c r="E1243" s="342">
        <f t="shared" si="87"/>
        <v>100</v>
      </c>
      <c r="F1243" s="343">
        <f>+E1243</f>
        <v>100</v>
      </c>
      <c r="G1243" s="111"/>
    </row>
    <row r="1244" spans="1:7" ht="20.100000000000001" customHeight="1" x14ac:dyDescent="0.25">
      <c r="A1244" s="159"/>
      <c r="B1244" s="341" t="s">
        <v>3491</v>
      </c>
      <c r="C1244" s="616">
        <v>912000000</v>
      </c>
      <c r="D1244" s="790">
        <v>912000000</v>
      </c>
      <c r="E1244" s="342">
        <f t="shared" si="87"/>
        <v>100</v>
      </c>
      <c r="F1244" s="343">
        <f t="shared" ref="F1244:F1250" si="88">+E1244</f>
        <v>100</v>
      </c>
      <c r="G1244" s="111"/>
    </row>
    <row r="1245" spans="1:7" ht="20.100000000000001" customHeight="1" x14ac:dyDescent="0.25">
      <c r="A1245" s="159"/>
      <c r="B1245" s="338" t="s">
        <v>3492</v>
      </c>
      <c r="C1245" s="592">
        <v>480000000</v>
      </c>
      <c r="D1245" s="790">
        <v>480000000</v>
      </c>
      <c r="E1245" s="342">
        <f t="shared" si="87"/>
        <v>100</v>
      </c>
      <c r="F1245" s="343">
        <f t="shared" si="88"/>
        <v>100</v>
      </c>
      <c r="G1245" s="111"/>
    </row>
    <row r="1246" spans="1:7" ht="20.100000000000001" customHeight="1" x14ac:dyDescent="0.25">
      <c r="A1246" s="159"/>
      <c r="B1246" s="338" t="s">
        <v>3493</v>
      </c>
      <c r="C1246" s="582">
        <v>2422000000</v>
      </c>
      <c r="D1246" s="790">
        <v>2422000000</v>
      </c>
      <c r="E1246" s="342">
        <f t="shared" si="87"/>
        <v>100</v>
      </c>
      <c r="F1246" s="343">
        <f t="shared" si="88"/>
        <v>100</v>
      </c>
      <c r="G1246" s="111"/>
    </row>
    <row r="1247" spans="1:7" ht="20.100000000000001" customHeight="1" x14ac:dyDescent="0.25">
      <c r="A1247" s="159"/>
      <c r="B1247" s="338" t="s">
        <v>3494</v>
      </c>
      <c r="C1247" s="582">
        <v>450000000</v>
      </c>
      <c r="D1247" s="790"/>
      <c r="E1247" s="342">
        <f t="shared" si="87"/>
        <v>0</v>
      </c>
      <c r="F1247" s="343">
        <f t="shared" si="88"/>
        <v>0</v>
      </c>
      <c r="G1247" s="111"/>
    </row>
    <row r="1248" spans="1:7" ht="20.100000000000001" customHeight="1" x14ac:dyDescent="0.25">
      <c r="A1248" s="159"/>
      <c r="B1248" s="338" t="s">
        <v>3495</v>
      </c>
      <c r="C1248" s="582">
        <v>500500000</v>
      </c>
      <c r="D1248" s="790"/>
      <c r="E1248" s="342">
        <f t="shared" si="87"/>
        <v>0</v>
      </c>
      <c r="F1248" s="343">
        <f t="shared" si="88"/>
        <v>0</v>
      </c>
      <c r="G1248" s="111"/>
    </row>
    <row r="1249" spans="1:7" ht="20.100000000000001" customHeight="1" x14ac:dyDescent="0.25">
      <c r="A1249" s="159"/>
      <c r="B1249" s="338" t="s">
        <v>3496</v>
      </c>
      <c r="C1249" s="582">
        <v>60000000</v>
      </c>
      <c r="D1249" s="790">
        <v>60000000</v>
      </c>
      <c r="E1249" s="342">
        <f t="shared" si="87"/>
        <v>100</v>
      </c>
      <c r="F1249" s="343">
        <f t="shared" si="88"/>
        <v>100</v>
      </c>
      <c r="G1249" s="111"/>
    </row>
    <row r="1250" spans="1:7" ht="20.100000000000001" customHeight="1" x14ac:dyDescent="0.25">
      <c r="A1250" s="159"/>
      <c r="B1250" s="339" t="s">
        <v>3497</v>
      </c>
      <c r="C1250" s="582">
        <v>350000000</v>
      </c>
      <c r="D1250" s="790"/>
      <c r="E1250" s="342">
        <f t="shared" si="87"/>
        <v>0</v>
      </c>
      <c r="F1250" s="343">
        <f t="shared" si="88"/>
        <v>0</v>
      </c>
      <c r="G1250" s="111"/>
    </row>
    <row r="1251" spans="1:7" ht="20.100000000000001" customHeight="1" x14ac:dyDescent="0.25">
      <c r="A1251" s="159"/>
      <c r="B1251" s="32"/>
      <c r="C1251" s="582"/>
      <c r="D1251" s="778"/>
      <c r="E1251" s="117"/>
      <c r="F1251" s="117"/>
      <c r="G1251" s="111"/>
    </row>
    <row r="1252" spans="1:7" s="115" customFormat="1" ht="20.100000000000001" customHeight="1" x14ac:dyDescent="0.25">
      <c r="A1252" s="159">
        <v>26</v>
      </c>
      <c r="B1252" s="48" t="s">
        <v>3547</v>
      </c>
      <c r="C1252" s="595">
        <f>C1253</f>
        <v>32741896200</v>
      </c>
      <c r="D1252" s="779">
        <f>+D1253</f>
        <v>31265138000</v>
      </c>
      <c r="E1252" s="114">
        <f>+D1252/C1252*100</f>
        <v>95.489698608231492</v>
      </c>
      <c r="F1252" s="114">
        <f>(F1253)/1</f>
        <v>95.489698608231492</v>
      </c>
      <c r="G1252" s="121"/>
    </row>
    <row r="1253" spans="1:7" ht="20.100000000000001" customHeight="1" x14ac:dyDescent="0.25">
      <c r="A1253" s="159"/>
      <c r="B1253" s="48" t="s">
        <v>977</v>
      </c>
      <c r="C1253" s="168">
        <f>+C1254+C1261+C1275+C1287+C1284</f>
        <v>32741896200</v>
      </c>
      <c r="D1253" s="242">
        <f>D1254+D1261+D1275+D1284+D1287</f>
        <v>31265138000</v>
      </c>
      <c r="E1253" s="342">
        <f t="shared" ref="E1253:E1289" si="89">D1253/C1253*100</f>
        <v>95.489698608231492</v>
      </c>
      <c r="F1253" s="342">
        <f>+E1253</f>
        <v>95.489698608231492</v>
      </c>
      <c r="G1253" s="111"/>
    </row>
    <row r="1254" spans="1:7" ht="20.100000000000001" customHeight="1" x14ac:dyDescent="0.25">
      <c r="A1254" s="159"/>
      <c r="B1254" s="121" t="s">
        <v>797</v>
      </c>
      <c r="C1254" s="120">
        <f>SUM(C1255:C1260)</f>
        <v>3606000000</v>
      </c>
      <c r="D1254" s="242">
        <f>SUM(D1255:D1260)</f>
        <v>3103090000</v>
      </c>
      <c r="E1254" s="342">
        <f t="shared" si="89"/>
        <v>86.053521907931227</v>
      </c>
      <c r="F1254" s="342">
        <f t="shared" ref="F1254:F1289" si="90">+E1254</f>
        <v>86.053521907931227</v>
      </c>
      <c r="G1254" s="111"/>
    </row>
    <row r="1255" spans="1:7" ht="20.100000000000001" customHeight="1" x14ac:dyDescent="0.25">
      <c r="A1255" s="159"/>
      <c r="B1255" s="118" t="s">
        <v>984</v>
      </c>
      <c r="C1255" s="107">
        <v>216000000</v>
      </c>
      <c r="D1255" s="243">
        <v>216000000</v>
      </c>
      <c r="E1255" s="343">
        <f t="shared" si="89"/>
        <v>100</v>
      </c>
      <c r="F1255" s="343">
        <f t="shared" si="90"/>
        <v>100</v>
      </c>
      <c r="G1255" s="111"/>
    </row>
    <row r="1256" spans="1:7" ht="20.100000000000001" customHeight="1" x14ac:dyDescent="0.25">
      <c r="A1256" s="159"/>
      <c r="B1256" s="118" t="s">
        <v>985</v>
      </c>
      <c r="C1256" s="107">
        <v>1075000000</v>
      </c>
      <c r="D1256" s="243">
        <v>1075000000</v>
      </c>
      <c r="E1256" s="343">
        <f t="shared" si="89"/>
        <v>100</v>
      </c>
      <c r="F1256" s="343">
        <f t="shared" si="90"/>
        <v>100</v>
      </c>
      <c r="G1256" s="111"/>
    </row>
    <row r="1257" spans="1:7" ht="20.100000000000001" customHeight="1" x14ac:dyDescent="0.25">
      <c r="A1257" s="159"/>
      <c r="B1257" s="118" t="s">
        <v>3548</v>
      </c>
      <c r="C1257" s="107">
        <v>1098000000</v>
      </c>
      <c r="D1257" s="243">
        <v>1098000000</v>
      </c>
      <c r="E1257" s="343">
        <f t="shared" si="89"/>
        <v>100</v>
      </c>
      <c r="F1257" s="343">
        <f t="shared" si="90"/>
        <v>100</v>
      </c>
      <c r="G1257" s="111"/>
    </row>
    <row r="1258" spans="1:7" ht="20.100000000000001" customHeight="1" x14ac:dyDescent="0.25">
      <c r="A1258" s="159"/>
      <c r="B1258" s="118" t="s">
        <v>3298</v>
      </c>
      <c r="C1258" s="107">
        <v>257000000</v>
      </c>
      <c r="D1258" s="243">
        <v>257000000</v>
      </c>
      <c r="E1258" s="343">
        <f t="shared" si="89"/>
        <v>100</v>
      </c>
      <c r="F1258" s="343">
        <f t="shared" si="90"/>
        <v>100</v>
      </c>
      <c r="G1258" s="111"/>
    </row>
    <row r="1259" spans="1:7" ht="20.100000000000001" customHeight="1" x14ac:dyDescent="0.25">
      <c r="A1259" s="159"/>
      <c r="B1259" s="118" t="s">
        <v>3549</v>
      </c>
      <c r="C1259" s="107">
        <v>500000000</v>
      </c>
      <c r="D1259" s="243">
        <v>0</v>
      </c>
      <c r="E1259" s="343">
        <f t="shared" si="89"/>
        <v>0</v>
      </c>
      <c r="F1259" s="343">
        <f t="shared" si="90"/>
        <v>0</v>
      </c>
      <c r="G1259" s="111"/>
    </row>
    <row r="1260" spans="1:7" ht="20.100000000000001" customHeight="1" x14ac:dyDescent="0.25">
      <c r="A1260" s="159"/>
      <c r="B1260" s="118" t="s">
        <v>3550</v>
      </c>
      <c r="C1260" s="107">
        <v>460000000</v>
      </c>
      <c r="D1260" s="243">
        <v>457090000</v>
      </c>
      <c r="E1260" s="343">
        <f t="shared" si="89"/>
        <v>99.367391304347834</v>
      </c>
      <c r="F1260" s="343">
        <f t="shared" si="90"/>
        <v>99.367391304347834</v>
      </c>
      <c r="G1260" s="111"/>
    </row>
    <row r="1261" spans="1:7" ht="20.100000000000001" customHeight="1" x14ac:dyDescent="0.25">
      <c r="A1261" s="159"/>
      <c r="B1261" s="249" t="s">
        <v>680</v>
      </c>
      <c r="C1261" s="120">
        <f>SUM(C1262:C1274)</f>
        <v>19310896200</v>
      </c>
      <c r="D1261" s="113">
        <f>SUM(D1262:D1274)</f>
        <v>19069298000</v>
      </c>
      <c r="E1261" s="342">
        <f t="shared" si="89"/>
        <v>98.748902187149653</v>
      </c>
      <c r="F1261" s="342">
        <f t="shared" si="90"/>
        <v>98.748902187149653</v>
      </c>
      <c r="G1261" s="111"/>
    </row>
    <row r="1262" spans="1:7" ht="20.100000000000001" customHeight="1" x14ac:dyDescent="0.25">
      <c r="A1262" s="159"/>
      <c r="B1262" s="118" t="s">
        <v>3551</v>
      </c>
      <c r="C1262" s="107">
        <v>432000000</v>
      </c>
      <c r="D1262" s="243">
        <v>432000000</v>
      </c>
      <c r="E1262" s="343">
        <f t="shared" si="89"/>
        <v>100</v>
      </c>
      <c r="F1262" s="343">
        <f t="shared" si="90"/>
        <v>100</v>
      </c>
      <c r="G1262" s="111"/>
    </row>
    <row r="1263" spans="1:7" ht="20.100000000000001" customHeight="1" x14ac:dyDescent="0.25">
      <c r="A1263" s="159"/>
      <c r="B1263" s="118" t="s">
        <v>3552</v>
      </c>
      <c r="C1263" s="107">
        <v>1542364200</v>
      </c>
      <c r="D1263" s="243">
        <v>1533900000</v>
      </c>
      <c r="E1263" s="343">
        <f t="shared" si="89"/>
        <v>99.451219108949758</v>
      </c>
      <c r="F1263" s="343">
        <f t="shared" si="90"/>
        <v>99.451219108949758</v>
      </c>
      <c r="G1263" s="111"/>
    </row>
    <row r="1264" spans="1:7" ht="20.100000000000001" customHeight="1" x14ac:dyDescent="0.25">
      <c r="A1264" s="159"/>
      <c r="B1264" s="118" t="s">
        <v>3553</v>
      </c>
      <c r="C1264" s="107">
        <v>1760584000</v>
      </c>
      <c r="D1264" s="243">
        <v>1742500000</v>
      </c>
      <c r="E1264" s="343">
        <f t="shared" si="89"/>
        <v>98.972840830088188</v>
      </c>
      <c r="F1264" s="343">
        <f t="shared" si="90"/>
        <v>98.972840830088188</v>
      </c>
      <c r="G1264" s="111"/>
    </row>
    <row r="1265" spans="1:7" ht="34.5" customHeight="1" x14ac:dyDescent="0.25">
      <c r="A1265" s="159"/>
      <c r="B1265" s="118" t="s">
        <v>3554</v>
      </c>
      <c r="C1265" s="107">
        <v>425000000</v>
      </c>
      <c r="D1265" s="243">
        <v>425000000</v>
      </c>
      <c r="E1265" s="343">
        <f t="shared" si="89"/>
        <v>100</v>
      </c>
      <c r="F1265" s="343">
        <f t="shared" si="90"/>
        <v>100</v>
      </c>
      <c r="G1265" s="111"/>
    </row>
    <row r="1266" spans="1:7" ht="34.5" customHeight="1" x14ac:dyDescent="0.25">
      <c r="A1266" s="159"/>
      <c r="B1266" s="118" t="s">
        <v>3555</v>
      </c>
      <c r="C1266" s="107">
        <v>600000000</v>
      </c>
      <c r="D1266" s="243">
        <v>600000000</v>
      </c>
      <c r="E1266" s="343">
        <f t="shared" si="89"/>
        <v>100</v>
      </c>
      <c r="F1266" s="343">
        <f t="shared" si="90"/>
        <v>100</v>
      </c>
      <c r="G1266" s="111"/>
    </row>
    <row r="1267" spans="1:7" ht="34.5" customHeight="1" x14ac:dyDescent="0.25">
      <c r="A1267" s="159"/>
      <c r="B1267" s="118" t="s">
        <v>3556</v>
      </c>
      <c r="C1267" s="107">
        <v>450000000</v>
      </c>
      <c r="D1267" s="243">
        <v>436800000</v>
      </c>
      <c r="E1267" s="343">
        <f t="shared" si="89"/>
        <v>97.066666666666663</v>
      </c>
      <c r="F1267" s="343">
        <f t="shared" si="90"/>
        <v>97.066666666666663</v>
      </c>
      <c r="G1267" s="111"/>
    </row>
    <row r="1268" spans="1:7" ht="20.100000000000001" customHeight="1" x14ac:dyDescent="0.25">
      <c r="A1268" s="159"/>
      <c r="B1268" s="118" t="s">
        <v>3557</v>
      </c>
      <c r="C1268" s="107">
        <v>625000000</v>
      </c>
      <c r="D1268" s="243">
        <v>619150000</v>
      </c>
      <c r="E1268" s="343">
        <f t="shared" si="89"/>
        <v>99.063999999999993</v>
      </c>
      <c r="F1268" s="343">
        <f t="shared" si="90"/>
        <v>99.063999999999993</v>
      </c>
      <c r="G1268" s="111"/>
    </row>
    <row r="1269" spans="1:7" ht="20.100000000000001" customHeight="1" x14ac:dyDescent="0.25">
      <c r="A1269" s="159"/>
      <c r="B1269" s="118" t="s">
        <v>3558</v>
      </c>
      <c r="C1269" s="107">
        <v>603980000</v>
      </c>
      <c r="D1269" s="243">
        <v>603980000</v>
      </c>
      <c r="E1269" s="343">
        <f t="shared" si="89"/>
        <v>100</v>
      </c>
      <c r="F1269" s="343">
        <f t="shared" si="90"/>
        <v>100</v>
      </c>
      <c r="G1269" s="111"/>
    </row>
    <row r="1270" spans="1:7" ht="20.100000000000001" customHeight="1" x14ac:dyDescent="0.25">
      <c r="A1270" s="159"/>
      <c r="B1270" s="118" t="s">
        <v>3559</v>
      </c>
      <c r="C1270" s="107">
        <v>4944000000</v>
      </c>
      <c r="D1270" s="108">
        <v>4944000000</v>
      </c>
      <c r="E1270" s="343">
        <f t="shared" si="89"/>
        <v>100</v>
      </c>
      <c r="F1270" s="343">
        <f t="shared" si="90"/>
        <v>100</v>
      </c>
      <c r="G1270" s="111"/>
    </row>
    <row r="1271" spans="1:7" ht="34.5" customHeight="1" x14ac:dyDescent="0.25">
      <c r="A1271" s="159"/>
      <c r="B1271" s="118" t="s">
        <v>3560</v>
      </c>
      <c r="C1271" s="107">
        <v>600000000</v>
      </c>
      <c r="D1271" s="243">
        <v>404000000</v>
      </c>
      <c r="E1271" s="343">
        <f t="shared" si="89"/>
        <v>67.333333333333329</v>
      </c>
      <c r="F1271" s="343">
        <f t="shared" si="90"/>
        <v>67.333333333333329</v>
      </c>
      <c r="G1271" s="111"/>
    </row>
    <row r="1272" spans="1:7" ht="34.5" customHeight="1" x14ac:dyDescent="0.25">
      <c r="A1272" s="159"/>
      <c r="B1272" s="118" t="s">
        <v>3561</v>
      </c>
      <c r="C1272" s="107">
        <v>150000000</v>
      </c>
      <c r="D1272" s="108">
        <v>150000000</v>
      </c>
      <c r="E1272" s="343">
        <f t="shared" si="89"/>
        <v>100</v>
      </c>
      <c r="F1272" s="343">
        <f t="shared" si="90"/>
        <v>100</v>
      </c>
      <c r="G1272" s="111"/>
    </row>
    <row r="1273" spans="1:7" ht="20.100000000000001" customHeight="1" x14ac:dyDescent="0.25">
      <c r="A1273" s="159"/>
      <c r="B1273" s="118" t="s">
        <v>3562</v>
      </c>
      <c r="C1273" s="107">
        <v>600000000</v>
      </c>
      <c r="D1273" s="108">
        <v>600000000</v>
      </c>
      <c r="E1273" s="343">
        <f t="shared" si="89"/>
        <v>100</v>
      </c>
      <c r="F1273" s="343">
        <f t="shared" si="90"/>
        <v>100</v>
      </c>
      <c r="G1273" s="111"/>
    </row>
    <row r="1274" spans="1:7" ht="20.100000000000001" customHeight="1" x14ac:dyDescent="0.25">
      <c r="A1274" s="159"/>
      <c r="B1274" s="118" t="s">
        <v>3563</v>
      </c>
      <c r="C1274" s="107">
        <v>6577968000</v>
      </c>
      <c r="D1274" s="108">
        <v>6577968000</v>
      </c>
      <c r="E1274" s="343">
        <f t="shared" si="89"/>
        <v>100</v>
      </c>
      <c r="F1274" s="343">
        <f t="shared" si="90"/>
        <v>100</v>
      </c>
      <c r="G1274" s="111"/>
    </row>
    <row r="1275" spans="1:7" ht="20.100000000000001" customHeight="1" x14ac:dyDescent="0.25">
      <c r="A1275" s="159"/>
      <c r="B1275" s="249" t="s">
        <v>92</v>
      </c>
      <c r="C1275" s="120">
        <f>SUM(C1276:C1283)</f>
        <v>6085000000</v>
      </c>
      <c r="D1275" s="113">
        <f>SUM(D1276:D1283)</f>
        <v>5365000000</v>
      </c>
      <c r="E1275" s="342">
        <f>D1275/C1275*100</f>
        <v>88.16762530813476</v>
      </c>
      <c r="F1275" s="342">
        <f t="shared" si="90"/>
        <v>88.16762530813476</v>
      </c>
      <c r="G1275" s="111"/>
    </row>
    <row r="1276" spans="1:7" ht="33" customHeight="1" x14ac:dyDescent="0.25">
      <c r="A1276" s="159"/>
      <c r="B1276" s="118" t="s">
        <v>3564</v>
      </c>
      <c r="C1276" s="107">
        <v>160000000</v>
      </c>
      <c r="D1276" s="108">
        <v>160000000</v>
      </c>
      <c r="E1276" s="343">
        <f t="shared" si="89"/>
        <v>100</v>
      </c>
      <c r="F1276" s="343">
        <f t="shared" si="90"/>
        <v>100</v>
      </c>
      <c r="G1276" s="111"/>
    </row>
    <row r="1277" spans="1:7" ht="20.100000000000001" customHeight="1" x14ac:dyDescent="0.25">
      <c r="A1277" s="159"/>
      <c r="B1277" s="118" t="s">
        <v>3565</v>
      </c>
      <c r="C1277" s="107">
        <v>450000000</v>
      </c>
      <c r="D1277" s="243">
        <v>0</v>
      </c>
      <c r="E1277" s="343">
        <f t="shared" si="89"/>
        <v>0</v>
      </c>
      <c r="F1277" s="343">
        <f t="shared" si="90"/>
        <v>0</v>
      </c>
      <c r="G1277" s="111"/>
    </row>
    <row r="1278" spans="1:7" ht="33" customHeight="1" x14ac:dyDescent="0.25">
      <c r="A1278" s="159"/>
      <c r="B1278" s="118" t="s">
        <v>3566</v>
      </c>
      <c r="C1278" s="107">
        <v>525000000</v>
      </c>
      <c r="D1278" s="108">
        <v>525000000</v>
      </c>
      <c r="E1278" s="343">
        <f t="shared" si="89"/>
        <v>100</v>
      </c>
      <c r="F1278" s="343">
        <f t="shared" si="90"/>
        <v>100</v>
      </c>
      <c r="G1278" s="111"/>
    </row>
    <row r="1279" spans="1:7" ht="34.5" customHeight="1" x14ac:dyDescent="0.25">
      <c r="A1279" s="159"/>
      <c r="B1279" s="118" t="s">
        <v>3567</v>
      </c>
      <c r="C1279" s="107">
        <v>1920000000</v>
      </c>
      <c r="D1279" s="108">
        <v>1920000000</v>
      </c>
      <c r="E1279" s="343">
        <f t="shared" si="89"/>
        <v>100</v>
      </c>
      <c r="F1279" s="343">
        <f t="shared" si="90"/>
        <v>100</v>
      </c>
      <c r="G1279" s="111"/>
    </row>
    <row r="1280" spans="1:7" ht="34.5" customHeight="1" x14ac:dyDescent="0.25">
      <c r="A1280" s="159"/>
      <c r="B1280" s="118" t="s">
        <v>3568</v>
      </c>
      <c r="C1280" s="107">
        <v>2400000000</v>
      </c>
      <c r="D1280" s="108">
        <v>2400000000</v>
      </c>
      <c r="E1280" s="343">
        <f t="shared" si="89"/>
        <v>100</v>
      </c>
      <c r="F1280" s="343">
        <f t="shared" si="90"/>
        <v>100</v>
      </c>
      <c r="G1280" s="111"/>
    </row>
    <row r="1281" spans="1:7" ht="34.5" customHeight="1" x14ac:dyDescent="0.25">
      <c r="A1281" s="159"/>
      <c r="B1281" s="118" t="s">
        <v>3569</v>
      </c>
      <c r="C1281" s="107">
        <v>120000000</v>
      </c>
      <c r="D1281" s="243">
        <v>0</v>
      </c>
      <c r="E1281" s="343">
        <f t="shared" si="89"/>
        <v>0</v>
      </c>
      <c r="F1281" s="343">
        <f t="shared" si="90"/>
        <v>0</v>
      </c>
      <c r="G1281" s="111"/>
    </row>
    <row r="1282" spans="1:7" ht="34.5" customHeight="1" x14ac:dyDescent="0.25">
      <c r="A1282" s="159"/>
      <c r="B1282" s="118" t="s">
        <v>3570</v>
      </c>
      <c r="C1282" s="107">
        <v>150000000</v>
      </c>
      <c r="D1282" s="242">
        <v>0</v>
      </c>
      <c r="E1282" s="343">
        <f t="shared" si="89"/>
        <v>0</v>
      </c>
      <c r="F1282" s="343">
        <f t="shared" si="90"/>
        <v>0</v>
      </c>
      <c r="G1282" s="111"/>
    </row>
    <row r="1283" spans="1:7" ht="20.100000000000001" customHeight="1" x14ac:dyDescent="0.25">
      <c r="A1283" s="159"/>
      <c r="B1283" s="118" t="s">
        <v>3571</v>
      </c>
      <c r="C1283" s="107">
        <v>360000000</v>
      </c>
      <c r="D1283" s="108">
        <v>360000000</v>
      </c>
      <c r="E1283" s="343">
        <f t="shared" si="89"/>
        <v>100</v>
      </c>
      <c r="F1283" s="343">
        <f t="shared" si="90"/>
        <v>100</v>
      </c>
      <c r="G1283" s="111"/>
    </row>
    <row r="1284" spans="1:7" ht="20.100000000000001" customHeight="1" x14ac:dyDescent="0.25">
      <c r="A1284" s="159"/>
      <c r="B1284" s="121" t="s">
        <v>100</v>
      </c>
      <c r="C1284" s="120">
        <f>SUM(C1285:C1286)</f>
        <v>140000000</v>
      </c>
      <c r="D1284" s="113">
        <f>SUM(D1285:D1286)</f>
        <v>140000000</v>
      </c>
      <c r="E1284" s="342">
        <f t="shared" si="89"/>
        <v>100</v>
      </c>
      <c r="F1284" s="342">
        <f t="shared" si="90"/>
        <v>100</v>
      </c>
      <c r="G1284" s="111"/>
    </row>
    <row r="1285" spans="1:7" ht="20.100000000000001" customHeight="1" x14ac:dyDescent="0.25">
      <c r="A1285" s="159"/>
      <c r="B1285" s="118" t="s">
        <v>3572</v>
      </c>
      <c r="C1285" s="107">
        <v>70000000</v>
      </c>
      <c r="D1285" s="108">
        <v>70000000</v>
      </c>
      <c r="E1285" s="343">
        <f t="shared" si="89"/>
        <v>100</v>
      </c>
      <c r="F1285" s="343">
        <f t="shared" si="90"/>
        <v>100</v>
      </c>
      <c r="G1285" s="111"/>
    </row>
    <row r="1286" spans="1:7" ht="20.100000000000001" customHeight="1" x14ac:dyDescent="0.25">
      <c r="A1286" s="159"/>
      <c r="B1286" s="118" t="s">
        <v>3573</v>
      </c>
      <c r="C1286" s="107">
        <v>70000000</v>
      </c>
      <c r="D1286" s="108">
        <v>70000000</v>
      </c>
      <c r="E1286" s="343">
        <f t="shared" si="89"/>
        <v>100</v>
      </c>
      <c r="F1286" s="343">
        <f t="shared" si="90"/>
        <v>100</v>
      </c>
      <c r="G1286" s="111"/>
    </row>
    <row r="1287" spans="1:7" ht="20.100000000000001" customHeight="1" x14ac:dyDescent="0.25">
      <c r="A1287" s="159"/>
      <c r="B1287" s="249" t="s">
        <v>1371</v>
      </c>
      <c r="C1287" s="120">
        <f>SUM(C1288:C1289)</f>
        <v>3600000000</v>
      </c>
      <c r="D1287" s="113">
        <f>SUM(D1288:D1289)</f>
        <v>3587750000</v>
      </c>
      <c r="E1287" s="342">
        <f t="shared" si="89"/>
        <v>99.659722222222229</v>
      </c>
      <c r="F1287" s="342">
        <f t="shared" si="90"/>
        <v>99.659722222222229</v>
      </c>
      <c r="G1287" s="111"/>
    </row>
    <row r="1288" spans="1:7" ht="34.5" customHeight="1" x14ac:dyDescent="0.25">
      <c r="A1288" s="159"/>
      <c r="B1288" s="118" t="s">
        <v>3574</v>
      </c>
      <c r="C1288" s="107">
        <v>500000000</v>
      </c>
      <c r="D1288" s="108">
        <v>500000000</v>
      </c>
      <c r="E1288" s="343">
        <f t="shared" si="89"/>
        <v>100</v>
      </c>
      <c r="F1288" s="343">
        <f t="shared" si="90"/>
        <v>100</v>
      </c>
      <c r="G1288" s="111"/>
    </row>
    <row r="1289" spans="1:7" ht="20.100000000000001" customHeight="1" x14ac:dyDescent="0.25">
      <c r="A1289" s="159"/>
      <c r="B1289" s="118" t="s">
        <v>3575</v>
      </c>
      <c r="C1289" s="107">
        <v>3100000000</v>
      </c>
      <c r="D1289" s="108">
        <v>3087750000</v>
      </c>
      <c r="E1289" s="343">
        <f t="shared" si="89"/>
        <v>99.604838709677423</v>
      </c>
      <c r="F1289" s="343">
        <f t="shared" si="90"/>
        <v>99.604838709677423</v>
      </c>
      <c r="G1289" s="111"/>
    </row>
    <row r="1290" spans="1:7" ht="20.100000000000001" customHeight="1" x14ac:dyDescent="0.25">
      <c r="A1290" s="159"/>
      <c r="B1290" s="32"/>
      <c r="C1290" s="582"/>
      <c r="D1290" s="778"/>
      <c r="E1290" s="117"/>
      <c r="F1290" s="117"/>
      <c r="G1290" s="111"/>
    </row>
    <row r="1291" spans="1:7" ht="20.100000000000001" customHeight="1" x14ac:dyDescent="0.25">
      <c r="A1291" s="159">
        <v>27</v>
      </c>
      <c r="B1291" s="48" t="s">
        <v>3674</v>
      </c>
      <c r="C1291" s="595">
        <f>+C1292+C1310</f>
        <v>33147460800</v>
      </c>
      <c r="D1291" s="779">
        <f>+D1292+D1310</f>
        <v>30881061460</v>
      </c>
      <c r="E1291" s="114">
        <f>+D1291/C1291*100</f>
        <v>93.162675857210758</v>
      </c>
      <c r="F1291" s="114">
        <f>(F1292+F1310)/2</f>
        <v>99</v>
      </c>
      <c r="G1291" s="111"/>
    </row>
    <row r="1292" spans="1:7" ht="20.100000000000001" customHeight="1" x14ac:dyDescent="0.25">
      <c r="A1292" s="159"/>
      <c r="B1292" s="545" t="s">
        <v>82</v>
      </c>
      <c r="C1292" s="348">
        <f>+C1293+C1296+C1300+C1302+C1304</f>
        <v>28815760800</v>
      </c>
      <c r="D1292" s="847">
        <f>+D1293+D1296+D1300+D1302+D1304</f>
        <v>26741361460</v>
      </c>
      <c r="E1292" s="381">
        <f>+D1292/C1292*100</f>
        <v>92.801164076847826</v>
      </c>
      <c r="F1292" s="562">
        <v>98</v>
      </c>
      <c r="G1292" s="111"/>
    </row>
    <row r="1293" spans="1:7" ht="20.100000000000001" customHeight="1" x14ac:dyDescent="0.25">
      <c r="A1293" s="159"/>
      <c r="B1293" s="471" t="s">
        <v>797</v>
      </c>
      <c r="C1293" s="348">
        <f>+C1294+C1295</f>
        <v>854196800</v>
      </c>
      <c r="D1293" s="847">
        <f>+D1294+D1295</f>
        <v>848500000</v>
      </c>
      <c r="E1293" s="381">
        <f>+D1293/C1293*100</f>
        <v>99.333081088573508</v>
      </c>
      <c r="F1293" s="563">
        <f>+E1293</f>
        <v>99.333081088573508</v>
      </c>
      <c r="G1293" s="111"/>
    </row>
    <row r="1294" spans="1:7" ht="20.100000000000001" customHeight="1" x14ac:dyDescent="0.25">
      <c r="A1294" s="159"/>
      <c r="B1294" s="547" t="s">
        <v>3675</v>
      </c>
      <c r="C1294" s="349">
        <v>316896800</v>
      </c>
      <c r="D1294" s="848">
        <v>312700000</v>
      </c>
      <c r="E1294" s="382">
        <f>100*(D1294/C1294)</f>
        <v>98.675657185556943</v>
      </c>
      <c r="F1294" s="564">
        <v>100</v>
      </c>
      <c r="G1294" s="111"/>
    </row>
    <row r="1295" spans="1:7" ht="20.100000000000001" customHeight="1" x14ac:dyDescent="0.25">
      <c r="A1295" s="159"/>
      <c r="B1295" s="547" t="s">
        <v>3676</v>
      </c>
      <c r="C1295" s="349">
        <v>537300000</v>
      </c>
      <c r="D1295" s="848">
        <v>535800000</v>
      </c>
      <c r="E1295" s="382">
        <f>100*(D1295/C1295)</f>
        <v>99.72082635399218</v>
      </c>
      <c r="F1295" s="564">
        <v>100</v>
      </c>
      <c r="G1295" s="111"/>
    </row>
    <row r="1296" spans="1:7" ht="20.100000000000001" customHeight="1" x14ac:dyDescent="0.25">
      <c r="A1296" s="159"/>
      <c r="B1296" s="545" t="s">
        <v>680</v>
      </c>
      <c r="C1296" s="348">
        <f>+C1297+C1298+C1299</f>
        <v>15119000000</v>
      </c>
      <c r="D1296" s="847">
        <f>+D1297+D1298+D1299</f>
        <v>14870652460</v>
      </c>
      <c r="E1296" s="381">
        <f>+D1296/C1296*100</f>
        <v>98.357381176003699</v>
      </c>
      <c r="F1296" s="563">
        <f>+E1296</f>
        <v>98.357381176003699</v>
      </c>
      <c r="G1296" s="111"/>
    </row>
    <row r="1297" spans="1:7" ht="20.100000000000001" customHeight="1" x14ac:dyDescent="0.25">
      <c r="A1297" s="159"/>
      <c r="B1297" s="549" t="s">
        <v>3677</v>
      </c>
      <c r="C1297" s="349">
        <v>5000000000</v>
      </c>
      <c r="D1297" s="848">
        <v>4914734000</v>
      </c>
      <c r="E1297" s="382">
        <f t="shared" ref="E1297:E1298" si="91">100*(D1297/C1297)</f>
        <v>98.29468</v>
      </c>
      <c r="F1297" s="564">
        <v>100</v>
      </c>
      <c r="G1297" s="111"/>
    </row>
    <row r="1298" spans="1:7" ht="20.100000000000001" customHeight="1" x14ac:dyDescent="0.25">
      <c r="A1298" s="159"/>
      <c r="B1298" s="549" t="s">
        <v>3678</v>
      </c>
      <c r="C1298" s="349">
        <v>480000000</v>
      </c>
      <c r="D1298" s="848">
        <v>479000000</v>
      </c>
      <c r="E1298" s="382">
        <f t="shared" si="91"/>
        <v>99.791666666666671</v>
      </c>
      <c r="F1298" s="564">
        <v>100</v>
      </c>
      <c r="G1298" s="111"/>
    </row>
    <row r="1299" spans="1:7" ht="20.100000000000001" customHeight="1" x14ac:dyDescent="0.25">
      <c r="A1299" s="159"/>
      <c r="B1299" s="549" t="s">
        <v>3679</v>
      </c>
      <c r="C1299" s="349">
        <v>9639000000</v>
      </c>
      <c r="D1299" s="848">
        <v>9476918460</v>
      </c>
      <c r="E1299" s="382">
        <f>100*(D1299/C1299)</f>
        <v>98.31848179271708</v>
      </c>
      <c r="F1299" s="564">
        <v>100</v>
      </c>
      <c r="G1299" s="111"/>
    </row>
    <row r="1300" spans="1:7" ht="20.100000000000001" customHeight="1" x14ac:dyDescent="0.25">
      <c r="A1300" s="159"/>
      <c r="B1300" s="552" t="s">
        <v>693</v>
      </c>
      <c r="C1300" s="348">
        <f>+C1301</f>
        <v>820000000</v>
      </c>
      <c r="D1300" s="847">
        <f>+D1301</f>
        <v>811360000</v>
      </c>
      <c r="E1300" s="381">
        <f>+D1300/C1300*100</f>
        <v>98.946341463414626</v>
      </c>
      <c r="F1300" s="563">
        <f>+E1300</f>
        <v>98.946341463414626</v>
      </c>
      <c r="G1300" s="111"/>
    </row>
    <row r="1301" spans="1:7" ht="20.100000000000001" customHeight="1" x14ac:dyDescent="0.25">
      <c r="A1301" s="159"/>
      <c r="B1301" s="549" t="s">
        <v>3680</v>
      </c>
      <c r="C1301" s="349">
        <v>820000000</v>
      </c>
      <c r="D1301" s="848">
        <v>811360000</v>
      </c>
      <c r="E1301" s="382">
        <f>100*(D1301/C1301)</f>
        <v>98.946341463414626</v>
      </c>
      <c r="F1301" s="564">
        <v>100</v>
      </c>
      <c r="G1301" s="111"/>
    </row>
    <row r="1302" spans="1:7" ht="20.100000000000001" customHeight="1" x14ac:dyDescent="0.25">
      <c r="A1302" s="159"/>
      <c r="B1302" s="552" t="s">
        <v>92</v>
      </c>
      <c r="C1302" s="348">
        <f>+C1303</f>
        <v>1740000000</v>
      </c>
      <c r="D1302" s="847">
        <f>+D1303</f>
        <v>1698138000</v>
      </c>
      <c r="E1302" s="381">
        <f>+D1302/C1302*100</f>
        <v>97.594137931034481</v>
      </c>
      <c r="F1302" s="563">
        <f>+E1302</f>
        <v>97.594137931034481</v>
      </c>
      <c r="G1302" s="111"/>
    </row>
    <row r="1303" spans="1:7" ht="20.100000000000001" customHeight="1" x14ac:dyDescent="0.25">
      <c r="A1303" s="159"/>
      <c r="B1303" s="549" t="s">
        <v>821</v>
      </c>
      <c r="C1303" s="349">
        <v>1740000000</v>
      </c>
      <c r="D1303" s="848">
        <v>1698138000</v>
      </c>
      <c r="E1303" s="382">
        <f>100*(D1303/C1303)</f>
        <v>97.594137931034481</v>
      </c>
      <c r="F1303" s="564">
        <v>100</v>
      </c>
      <c r="G1303" s="111"/>
    </row>
    <row r="1304" spans="1:7" ht="20.100000000000001" customHeight="1" x14ac:dyDescent="0.25">
      <c r="A1304" s="159"/>
      <c r="B1304" s="552" t="s">
        <v>109</v>
      </c>
      <c r="C1304" s="348">
        <f>+C1305+C1306+C1307+C1308</f>
        <v>10282564000</v>
      </c>
      <c r="D1304" s="847">
        <f>+D1305+D1306+D1307+D1308</f>
        <v>8512711000</v>
      </c>
      <c r="E1304" s="381">
        <f>+D1304/C1304*100</f>
        <v>82.787824126356043</v>
      </c>
      <c r="F1304" s="563">
        <f>+E1304</f>
        <v>82.787824126356043</v>
      </c>
      <c r="G1304" s="111"/>
    </row>
    <row r="1305" spans="1:7" ht="20.100000000000001" customHeight="1" x14ac:dyDescent="0.25">
      <c r="A1305" s="159"/>
      <c r="B1305" s="549" t="s">
        <v>3681</v>
      </c>
      <c r="C1305" s="349">
        <v>610020000</v>
      </c>
      <c r="D1305" s="848">
        <v>0</v>
      </c>
      <c r="E1305" s="382">
        <f>100*(D1305/C1305)</f>
        <v>0</v>
      </c>
      <c r="F1305" s="565" t="s">
        <v>3682</v>
      </c>
      <c r="G1305" s="111"/>
    </row>
    <row r="1306" spans="1:7" ht="20.100000000000001" customHeight="1" x14ac:dyDescent="0.25">
      <c r="A1306" s="159"/>
      <c r="B1306" s="549" t="s">
        <v>3683</v>
      </c>
      <c r="C1306" s="349">
        <v>8142544000</v>
      </c>
      <c r="D1306" s="848">
        <v>7001250000</v>
      </c>
      <c r="E1306" s="382">
        <f>100*(D1306/C1306)</f>
        <v>85.983569754121064</v>
      </c>
      <c r="F1306" s="565">
        <v>100</v>
      </c>
      <c r="G1306" s="111"/>
    </row>
    <row r="1307" spans="1:7" ht="20.100000000000001" customHeight="1" x14ac:dyDescent="0.25">
      <c r="A1307" s="159"/>
      <c r="B1307" s="549" t="s">
        <v>3684</v>
      </c>
      <c r="C1307" s="349">
        <v>400000000</v>
      </c>
      <c r="D1307" s="848">
        <v>392164000</v>
      </c>
      <c r="E1307" s="382">
        <f>100*(D1307/C1307)</f>
        <v>98.040999999999997</v>
      </c>
      <c r="F1307" s="564">
        <v>100</v>
      </c>
      <c r="G1307" s="111"/>
    </row>
    <row r="1308" spans="1:7" ht="20.100000000000001" customHeight="1" x14ac:dyDescent="0.25">
      <c r="A1308" s="159"/>
      <c r="B1308" s="549" t="s">
        <v>3685</v>
      </c>
      <c r="C1308" s="349">
        <v>1130000000</v>
      </c>
      <c r="D1308" s="848">
        <v>1119297000</v>
      </c>
      <c r="E1308" s="382">
        <f>100*(D1308/C1308)</f>
        <v>99.052831858407075</v>
      </c>
      <c r="F1308" s="564">
        <v>100</v>
      </c>
      <c r="G1308" s="111"/>
    </row>
    <row r="1309" spans="1:7" ht="20.100000000000001" customHeight="1" x14ac:dyDescent="0.25">
      <c r="A1309" s="159"/>
      <c r="B1309" s="32"/>
      <c r="C1309" s="582"/>
      <c r="D1309" s="781"/>
      <c r="E1309" s="114"/>
      <c r="F1309" s="117"/>
      <c r="G1309" s="111"/>
    </row>
    <row r="1310" spans="1:7" ht="20.100000000000001" customHeight="1" x14ac:dyDescent="0.25">
      <c r="A1310" s="159"/>
      <c r="B1310" s="552" t="s">
        <v>3751</v>
      </c>
      <c r="C1310" s="348">
        <f>SUM(C1313:C1319)</f>
        <v>4331700000</v>
      </c>
      <c r="D1310" s="847">
        <f>SUM(D1313:D1319)</f>
        <v>4139700000</v>
      </c>
      <c r="E1310" s="381">
        <f>100*(D1310/C1310)</f>
        <v>95.567560080337984</v>
      </c>
      <c r="F1310" s="562">
        <v>100</v>
      </c>
      <c r="G1310" s="111"/>
    </row>
    <row r="1311" spans="1:7" ht="20.100000000000001" customHeight="1" x14ac:dyDescent="0.25">
      <c r="A1311" s="159"/>
      <c r="B1311" s="552" t="s">
        <v>3759</v>
      </c>
      <c r="C1311" s="552"/>
      <c r="D1311" s="848"/>
      <c r="E1311" s="382"/>
      <c r="F1311" s="564"/>
      <c r="G1311" s="111"/>
    </row>
    <row r="1312" spans="1:7" ht="20.100000000000001" customHeight="1" x14ac:dyDescent="0.25">
      <c r="A1312" s="159"/>
      <c r="B1312" s="552" t="s">
        <v>3761</v>
      </c>
      <c r="C1312" s="349"/>
      <c r="D1312" s="848"/>
      <c r="E1312" s="382"/>
      <c r="F1312" s="564"/>
      <c r="G1312" s="111"/>
    </row>
    <row r="1313" spans="1:30" ht="20.100000000000001" customHeight="1" x14ac:dyDescent="0.25">
      <c r="A1313" s="159"/>
      <c r="B1313" s="549" t="s">
        <v>3762</v>
      </c>
      <c r="C1313" s="349">
        <v>840000000</v>
      </c>
      <c r="D1313" s="848">
        <v>840000000</v>
      </c>
      <c r="E1313" s="382">
        <f t="shared" ref="E1313:E1319" si="92">100*(D1313/C1313)</f>
        <v>100</v>
      </c>
      <c r="F1313" s="564">
        <v>100</v>
      </c>
      <c r="G1313" s="111"/>
    </row>
    <row r="1314" spans="1:30" ht="20.100000000000001" customHeight="1" x14ac:dyDescent="0.25">
      <c r="A1314" s="159"/>
      <c r="B1314" s="549" t="s">
        <v>3763</v>
      </c>
      <c r="C1314" s="349">
        <v>720000000</v>
      </c>
      <c r="D1314" s="848">
        <v>576000000</v>
      </c>
      <c r="E1314" s="382">
        <f t="shared" si="92"/>
        <v>80</v>
      </c>
      <c r="F1314" s="564">
        <v>100</v>
      </c>
      <c r="G1314" s="111"/>
    </row>
    <row r="1315" spans="1:30" ht="20.100000000000001" customHeight="1" x14ac:dyDescent="0.25">
      <c r="A1315" s="159"/>
      <c r="B1315" s="549" t="s">
        <v>3764</v>
      </c>
      <c r="C1315" s="349">
        <v>720000000</v>
      </c>
      <c r="D1315" s="848">
        <v>720000000</v>
      </c>
      <c r="E1315" s="382">
        <f t="shared" si="92"/>
        <v>100</v>
      </c>
      <c r="F1315" s="564">
        <v>100</v>
      </c>
      <c r="G1315" s="111"/>
    </row>
    <row r="1316" spans="1:30" ht="20.100000000000001" customHeight="1" x14ac:dyDescent="0.25">
      <c r="A1316" s="159"/>
      <c r="B1316" s="549" t="s">
        <v>3765</v>
      </c>
      <c r="C1316" s="349">
        <v>252000000</v>
      </c>
      <c r="D1316" s="848">
        <v>210000000</v>
      </c>
      <c r="E1316" s="382">
        <f t="shared" si="92"/>
        <v>83.333333333333343</v>
      </c>
      <c r="F1316" s="564">
        <v>100</v>
      </c>
      <c r="G1316" s="111"/>
    </row>
    <row r="1317" spans="1:30" ht="20.100000000000001" customHeight="1" x14ac:dyDescent="0.25">
      <c r="A1317" s="159"/>
      <c r="B1317" s="549" t="s">
        <v>3766</v>
      </c>
      <c r="C1317" s="349">
        <v>42000000</v>
      </c>
      <c r="D1317" s="848">
        <v>36000000</v>
      </c>
      <c r="E1317" s="382">
        <f t="shared" si="92"/>
        <v>85.714285714285708</v>
      </c>
      <c r="F1317" s="564">
        <v>100</v>
      </c>
      <c r="G1317" s="111"/>
    </row>
    <row r="1318" spans="1:30" ht="20.100000000000001" customHeight="1" x14ac:dyDescent="0.25">
      <c r="A1318" s="159"/>
      <c r="B1318" s="549" t="s">
        <v>3767</v>
      </c>
      <c r="C1318" s="349">
        <v>495000000</v>
      </c>
      <c r="D1318" s="848">
        <v>495000000</v>
      </c>
      <c r="E1318" s="382">
        <f t="shared" si="92"/>
        <v>100</v>
      </c>
      <c r="F1318" s="564">
        <v>100</v>
      </c>
      <c r="G1318" s="111"/>
    </row>
    <row r="1319" spans="1:30" ht="20.100000000000001" customHeight="1" x14ac:dyDescent="0.25">
      <c r="A1319" s="159"/>
      <c r="B1319" s="549" t="s">
        <v>3768</v>
      </c>
      <c r="C1319" s="349">
        <v>1262700000</v>
      </c>
      <c r="D1319" s="848">
        <v>1262700000</v>
      </c>
      <c r="E1319" s="382">
        <f t="shared" si="92"/>
        <v>100</v>
      </c>
      <c r="F1319" s="564">
        <v>100</v>
      </c>
      <c r="G1319" s="111"/>
    </row>
    <row r="1320" spans="1:30" ht="20.100000000000001" customHeight="1" x14ac:dyDescent="0.25">
      <c r="A1320" s="159"/>
      <c r="B1320" s="32"/>
      <c r="C1320" s="582"/>
      <c r="D1320" s="781"/>
      <c r="E1320" s="114"/>
      <c r="F1320" s="117"/>
      <c r="G1320" s="111"/>
    </row>
    <row r="1321" spans="1:30" s="105" customFormat="1" ht="20.100000000000001" customHeight="1" x14ac:dyDescent="0.25">
      <c r="A1321" s="159">
        <v>28</v>
      </c>
      <c r="B1321" s="329" t="s">
        <v>4025</v>
      </c>
      <c r="C1321" s="595">
        <f>C1322</f>
        <v>31270707900</v>
      </c>
      <c r="D1321" s="781">
        <f>+D1322</f>
        <v>31224455900</v>
      </c>
      <c r="E1321" s="114">
        <f>+D1321/C1321*100</f>
        <v>99.852091611907511</v>
      </c>
      <c r="F1321" s="114">
        <f>(F1323)/1</f>
        <v>100</v>
      </c>
      <c r="G1321" s="121"/>
      <c r="H1321" s="115"/>
      <c r="I1321" s="115"/>
      <c r="J1321" s="115"/>
      <c r="K1321" s="115"/>
      <c r="L1321" s="115"/>
      <c r="M1321" s="115"/>
      <c r="N1321" s="115"/>
      <c r="O1321" s="115"/>
      <c r="P1321" s="115"/>
      <c r="Q1321" s="115"/>
      <c r="R1321" s="115"/>
      <c r="S1321" s="115"/>
      <c r="T1321" s="115"/>
      <c r="U1321" s="115"/>
      <c r="V1321" s="115"/>
      <c r="W1321" s="115"/>
      <c r="X1321" s="115"/>
      <c r="Y1321" s="115"/>
      <c r="Z1321" s="115"/>
      <c r="AA1321" s="115"/>
      <c r="AB1321" s="115"/>
      <c r="AC1321" s="115"/>
      <c r="AD1321" s="115"/>
    </row>
    <row r="1322" spans="1:30" s="115" customFormat="1" ht="20.100000000000001" customHeight="1" x14ac:dyDescent="0.25">
      <c r="A1322" s="159"/>
      <c r="B1322" s="48" t="s">
        <v>82</v>
      </c>
      <c r="C1322" s="593">
        <f>+C1323+C1329+C1344+C1356+C1359</f>
        <v>31270707900</v>
      </c>
      <c r="D1322" s="849">
        <f>D1323+D1329+D1344+D1356+D1359</f>
        <v>31224455900</v>
      </c>
      <c r="E1322" s="333">
        <f>D1322/C1322*100</f>
        <v>99.852091611907511</v>
      </c>
      <c r="F1322" s="333">
        <v>100</v>
      </c>
      <c r="G1322" s="121"/>
    </row>
    <row r="1323" spans="1:30" s="115" customFormat="1" ht="20.100000000000001" customHeight="1" x14ac:dyDescent="0.25">
      <c r="A1323" s="159"/>
      <c r="B1323" s="48" t="s">
        <v>797</v>
      </c>
      <c r="C1323" s="593">
        <f>SUM(C1324:C1328)</f>
        <v>2169950000</v>
      </c>
      <c r="D1323" s="849">
        <f>SUM(D1324:D1328)</f>
        <v>2158700000</v>
      </c>
      <c r="E1323" s="333">
        <f>D1323/C1323*100</f>
        <v>99.481554874536286</v>
      </c>
      <c r="F1323" s="333">
        <v>100</v>
      </c>
      <c r="G1323" s="121"/>
    </row>
    <row r="1324" spans="1:30" ht="20.100000000000001" customHeight="1" x14ac:dyDescent="0.25">
      <c r="A1324" s="159"/>
      <c r="B1324" s="111" t="s">
        <v>3771</v>
      </c>
      <c r="C1324" s="592">
        <v>420000000</v>
      </c>
      <c r="D1324" s="788">
        <f>140000000*3</f>
        <v>420000000</v>
      </c>
      <c r="E1324" s="379">
        <f>D1324/C1324*100</f>
        <v>100</v>
      </c>
      <c r="F1324" s="379">
        <v>100</v>
      </c>
      <c r="G1324" s="111"/>
    </row>
    <row r="1325" spans="1:30" ht="20.100000000000001" customHeight="1" x14ac:dyDescent="0.25">
      <c r="A1325" s="159"/>
      <c r="B1325" s="111" t="s">
        <v>3772</v>
      </c>
      <c r="C1325" s="592">
        <v>434000000</v>
      </c>
      <c r="D1325" s="788">
        <v>433200000</v>
      </c>
      <c r="E1325" s="379">
        <f t="shared" ref="E1325:E1360" si="93">D1325/C1325*100</f>
        <v>99.815668202764968</v>
      </c>
      <c r="F1325" s="379">
        <v>100</v>
      </c>
      <c r="G1325" s="111"/>
    </row>
    <row r="1326" spans="1:30" ht="20.100000000000001" customHeight="1" x14ac:dyDescent="0.25">
      <c r="A1326" s="159"/>
      <c r="B1326" s="111" t="s">
        <v>3773</v>
      </c>
      <c r="C1326" s="592">
        <v>75000000</v>
      </c>
      <c r="D1326" s="788">
        <v>75000000</v>
      </c>
      <c r="E1326" s="379">
        <f t="shared" si="93"/>
        <v>100</v>
      </c>
      <c r="F1326" s="379">
        <v>100</v>
      </c>
      <c r="G1326" s="111"/>
    </row>
    <row r="1327" spans="1:30" ht="20.100000000000001" customHeight="1" x14ac:dyDescent="0.25">
      <c r="A1327" s="159"/>
      <c r="B1327" s="119" t="s">
        <v>3774</v>
      </c>
      <c r="C1327" s="592">
        <v>864000000</v>
      </c>
      <c r="D1327" s="788">
        <v>855000000</v>
      </c>
      <c r="E1327" s="379">
        <f t="shared" si="93"/>
        <v>98.958333333333343</v>
      </c>
      <c r="F1327" s="379">
        <v>100</v>
      </c>
      <c r="G1327" s="111"/>
    </row>
    <row r="1328" spans="1:30" ht="20.100000000000001" customHeight="1" x14ac:dyDescent="0.25">
      <c r="A1328" s="159"/>
      <c r="B1328" s="111" t="s">
        <v>3775</v>
      </c>
      <c r="C1328" s="592">
        <v>376950000</v>
      </c>
      <c r="D1328" s="788">
        <v>375500000</v>
      </c>
      <c r="E1328" s="379">
        <f t="shared" si="93"/>
        <v>99.615333598620509</v>
      </c>
      <c r="F1328" s="379">
        <v>100</v>
      </c>
      <c r="G1328" s="111"/>
    </row>
    <row r="1329" spans="1:7" s="115" customFormat="1" ht="20.100000000000001" customHeight="1" x14ac:dyDescent="0.25">
      <c r="A1329" s="159"/>
      <c r="B1329" s="48" t="s">
        <v>680</v>
      </c>
      <c r="C1329" s="593">
        <f>SUM(C1330:C1343)</f>
        <v>15392270000</v>
      </c>
      <c r="D1329" s="849">
        <f>SUM(D1330:D1343)</f>
        <v>15367718000</v>
      </c>
      <c r="E1329" s="333">
        <f t="shared" si="93"/>
        <v>99.840491363522077</v>
      </c>
      <c r="F1329" s="333">
        <v>100</v>
      </c>
      <c r="G1329" s="121"/>
    </row>
    <row r="1330" spans="1:7" ht="20.100000000000001" customHeight="1" x14ac:dyDescent="0.25">
      <c r="A1330" s="159"/>
      <c r="B1330" s="111" t="s">
        <v>3776</v>
      </c>
      <c r="C1330" s="592">
        <v>1200000000</v>
      </c>
      <c r="D1330" s="788">
        <v>1200000000</v>
      </c>
      <c r="E1330" s="379">
        <f t="shared" si="93"/>
        <v>100</v>
      </c>
      <c r="F1330" s="379">
        <v>100</v>
      </c>
      <c r="G1330" s="111"/>
    </row>
    <row r="1331" spans="1:7" ht="20.100000000000001" customHeight="1" x14ac:dyDescent="0.25">
      <c r="A1331" s="159"/>
      <c r="B1331" s="118" t="s">
        <v>3777</v>
      </c>
      <c r="C1331" s="592">
        <v>420000000</v>
      </c>
      <c r="D1331" s="788">
        <v>418800000</v>
      </c>
      <c r="E1331" s="379">
        <f t="shared" si="93"/>
        <v>99.714285714285708</v>
      </c>
      <c r="F1331" s="379">
        <v>100</v>
      </c>
      <c r="G1331" s="111"/>
    </row>
    <row r="1332" spans="1:7" ht="20.100000000000001" customHeight="1" x14ac:dyDescent="0.25">
      <c r="A1332" s="159"/>
      <c r="B1332" s="111" t="s">
        <v>3778</v>
      </c>
      <c r="C1332" s="592">
        <v>400000000</v>
      </c>
      <c r="D1332" s="788">
        <v>398000000</v>
      </c>
      <c r="E1332" s="379">
        <f t="shared" si="93"/>
        <v>99.5</v>
      </c>
      <c r="F1332" s="379">
        <v>100</v>
      </c>
      <c r="G1332" s="111"/>
    </row>
    <row r="1333" spans="1:7" ht="20.100000000000001" customHeight="1" x14ac:dyDescent="0.25">
      <c r="A1333" s="159"/>
      <c r="B1333" s="111" t="s">
        <v>3779</v>
      </c>
      <c r="C1333" s="592">
        <v>4523400000</v>
      </c>
      <c r="D1333" s="788">
        <v>4512248000</v>
      </c>
      <c r="E1333" s="379">
        <f t="shared" si="93"/>
        <v>99.753459786885969</v>
      </c>
      <c r="F1333" s="379">
        <v>100</v>
      </c>
      <c r="G1333" s="111"/>
    </row>
    <row r="1334" spans="1:7" ht="27.75" customHeight="1" x14ac:dyDescent="0.25">
      <c r="A1334" s="159"/>
      <c r="B1334" s="119" t="s">
        <v>3780</v>
      </c>
      <c r="C1334" s="592">
        <v>1690000000</v>
      </c>
      <c r="D1334" s="788">
        <v>1686700000</v>
      </c>
      <c r="E1334" s="379">
        <f t="shared" si="93"/>
        <v>99.804733727810643</v>
      </c>
      <c r="F1334" s="379">
        <v>100</v>
      </c>
      <c r="G1334" s="111"/>
    </row>
    <row r="1335" spans="1:7" ht="20.100000000000001" customHeight="1" x14ac:dyDescent="0.25">
      <c r="A1335" s="159"/>
      <c r="B1335" s="111" t="s">
        <v>3781</v>
      </c>
      <c r="C1335" s="592">
        <v>550000000</v>
      </c>
      <c r="D1335" s="788">
        <v>548900000</v>
      </c>
      <c r="E1335" s="379">
        <f t="shared" si="93"/>
        <v>99.8</v>
      </c>
      <c r="F1335" s="379">
        <v>100</v>
      </c>
      <c r="G1335" s="111"/>
    </row>
    <row r="1336" spans="1:7" ht="20.100000000000001" customHeight="1" x14ac:dyDescent="0.25">
      <c r="A1336" s="159"/>
      <c r="B1336" s="111" t="s">
        <v>3782</v>
      </c>
      <c r="C1336" s="592">
        <v>840000000</v>
      </c>
      <c r="D1336" s="788">
        <v>840000000</v>
      </c>
      <c r="E1336" s="379">
        <f t="shared" si="93"/>
        <v>100</v>
      </c>
      <c r="F1336" s="379">
        <v>100</v>
      </c>
      <c r="G1336" s="111"/>
    </row>
    <row r="1337" spans="1:7" ht="20.100000000000001" customHeight="1" x14ac:dyDescent="0.25">
      <c r="A1337" s="159"/>
      <c r="B1337" s="111" t="s">
        <v>938</v>
      </c>
      <c r="C1337" s="592">
        <v>825000000</v>
      </c>
      <c r="D1337" s="788">
        <v>825000000</v>
      </c>
      <c r="E1337" s="379">
        <f t="shared" si="93"/>
        <v>100</v>
      </c>
      <c r="F1337" s="379">
        <v>100</v>
      </c>
      <c r="G1337" s="111"/>
    </row>
    <row r="1338" spans="1:7" ht="20.100000000000001" customHeight="1" x14ac:dyDescent="0.25">
      <c r="A1338" s="159"/>
      <c r="B1338" s="111" t="s">
        <v>3783</v>
      </c>
      <c r="C1338" s="592">
        <v>200000000</v>
      </c>
      <c r="D1338" s="788">
        <v>199000000</v>
      </c>
      <c r="E1338" s="379">
        <f t="shared" si="93"/>
        <v>99.5</v>
      </c>
      <c r="F1338" s="379">
        <v>100</v>
      </c>
      <c r="G1338" s="111"/>
    </row>
    <row r="1339" spans="1:7" ht="27.75" customHeight="1" x14ac:dyDescent="0.25">
      <c r="A1339" s="159"/>
      <c r="B1339" s="119" t="s">
        <v>3784</v>
      </c>
      <c r="C1339" s="592">
        <v>720000000</v>
      </c>
      <c r="D1339" s="788">
        <v>716500000</v>
      </c>
      <c r="E1339" s="379">
        <f t="shared" si="93"/>
        <v>99.513888888888886</v>
      </c>
      <c r="F1339" s="379">
        <v>100</v>
      </c>
      <c r="G1339" s="111"/>
    </row>
    <row r="1340" spans="1:7" ht="34.5" customHeight="1" x14ac:dyDescent="0.25">
      <c r="A1340" s="159"/>
      <c r="B1340" s="119" t="s">
        <v>3785</v>
      </c>
      <c r="C1340" s="592">
        <v>1304000000</v>
      </c>
      <c r="D1340" s="790">
        <v>1304000000</v>
      </c>
      <c r="E1340" s="379">
        <f t="shared" si="93"/>
        <v>100</v>
      </c>
      <c r="F1340" s="379">
        <v>100</v>
      </c>
      <c r="G1340" s="111"/>
    </row>
    <row r="1341" spans="1:7" ht="20.100000000000001" customHeight="1" x14ac:dyDescent="0.25">
      <c r="A1341" s="159"/>
      <c r="B1341" s="111" t="s">
        <v>3786</v>
      </c>
      <c r="C1341" s="592">
        <v>250000000</v>
      </c>
      <c r="D1341" s="790">
        <v>250000000</v>
      </c>
      <c r="E1341" s="379">
        <f t="shared" si="93"/>
        <v>100</v>
      </c>
      <c r="F1341" s="379">
        <v>100</v>
      </c>
      <c r="G1341" s="111"/>
    </row>
    <row r="1342" spans="1:7" ht="27.75" customHeight="1" x14ac:dyDescent="0.25">
      <c r="A1342" s="159"/>
      <c r="B1342" s="119" t="s">
        <v>3787</v>
      </c>
      <c r="C1342" s="592">
        <v>1869870000</v>
      </c>
      <c r="D1342" s="790">
        <v>1868570000</v>
      </c>
      <c r="E1342" s="379">
        <f t="shared" si="93"/>
        <v>99.930476450234508</v>
      </c>
      <c r="F1342" s="379">
        <v>100</v>
      </c>
      <c r="G1342" s="111"/>
    </row>
    <row r="1343" spans="1:7" ht="20.100000000000001" customHeight="1" x14ac:dyDescent="0.25">
      <c r="A1343" s="159"/>
      <c r="B1343" s="111" t="s">
        <v>3788</v>
      </c>
      <c r="C1343" s="592">
        <v>600000000</v>
      </c>
      <c r="D1343" s="790">
        <v>600000000</v>
      </c>
      <c r="E1343" s="379">
        <f t="shared" si="93"/>
        <v>100</v>
      </c>
      <c r="F1343" s="379">
        <v>100</v>
      </c>
      <c r="G1343" s="111"/>
    </row>
    <row r="1344" spans="1:7" s="115" customFormat="1" ht="20.100000000000001" customHeight="1" x14ac:dyDescent="0.25">
      <c r="A1344" s="159"/>
      <c r="B1344" s="48" t="s">
        <v>693</v>
      </c>
      <c r="C1344" s="593">
        <f>SUM(C1345:C1355)</f>
        <v>5896000000</v>
      </c>
      <c r="D1344" s="849">
        <f>SUM(D1345:D1355)</f>
        <v>5885550000</v>
      </c>
      <c r="E1344" s="333">
        <f t="shared" si="93"/>
        <v>99.822761194029852</v>
      </c>
      <c r="F1344" s="333">
        <v>100</v>
      </c>
      <c r="G1344" s="121"/>
    </row>
    <row r="1345" spans="1:7" ht="20.100000000000001" customHeight="1" x14ac:dyDescent="0.25">
      <c r="A1345" s="159"/>
      <c r="B1345" s="111" t="s">
        <v>3789</v>
      </c>
      <c r="C1345" s="592">
        <v>300000000</v>
      </c>
      <c r="D1345" s="788">
        <v>300000000</v>
      </c>
      <c r="E1345" s="379">
        <f t="shared" si="93"/>
        <v>100</v>
      </c>
      <c r="F1345" s="379">
        <v>100</v>
      </c>
      <c r="G1345" s="111"/>
    </row>
    <row r="1346" spans="1:7" ht="20.100000000000001" customHeight="1" x14ac:dyDescent="0.25">
      <c r="A1346" s="159"/>
      <c r="B1346" s="111" t="s">
        <v>3790</v>
      </c>
      <c r="C1346" s="592">
        <v>1200000000</v>
      </c>
      <c r="D1346" s="788">
        <v>1196750000</v>
      </c>
      <c r="E1346" s="379">
        <f t="shared" si="93"/>
        <v>99.729166666666671</v>
      </c>
      <c r="F1346" s="379">
        <v>100</v>
      </c>
      <c r="G1346" s="111"/>
    </row>
    <row r="1347" spans="1:7" ht="20.100000000000001" customHeight="1" x14ac:dyDescent="0.25">
      <c r="A1347" s="159"/>
      <c r="B1347" s="111" t="s">
        <v>3791</v>
      </c>
      <c r="C1347" s="592">
        <v>1200000000</v>
      </c>
      <c r="D1347" s="788">
        <v>1200000000</v>
      </c>
      <c r="E1347" s="379">
        <f t="shared" si="93"/>
        <v>100</v>
      </c>
      <c r="F1347" s="379">
        <v>100</v>
      </c>
      <c r="G1347" s="111"/>
    </row>
    <row r="1348" spans="1:7" ht="34.5" customHeight="1" x14ac:dyDescent="0.25">
      <c r="A1348" s="159"/>
      <c r="B1348" s="119" t="s">
        <v>3792</v>
      </c>
      <c r="C1348" s="592">
        <v>250000000</v>
      </c>
      <c r="D1348" s="788">
        <v>250000000</v>
      </c>
      <c r="E1348" s="379">
        <f t="shared" si="93"/>
        <v>100</v>
      </c>
      <c r="F1348" s="379">
        <v>100</v>
      </c>
      <c r="G1348" s="111"/>
    </row>
    <row r="1349" spans="1:7" ht="20.100000000000001" customHeight="1" x14ac:dyDescent="0.25">
      <c r="A1349" s="159"/>
      <c r="B1349" s="111" t="s">
        <v>3793</v>
      </c>
      <c r="C1349" s="592">
        <v>200000000</v>
      </c>
      <c r="D1349" s="788">
        <v>199000000</v>
      </c>
      <c r="E1349" s="379">
        <f t="shared" si="93"/>
        <v>99.5</v>
      </c>
      <c r="F1349" s="379">
        <v>100</v>
      </c>
      <c r="G1349" s="111"/>
    </row>
    <row r="1350" spans="1:7" ht="34.5" customHeight="1" x14ac:dyDescent="0.25">
      <c r="A1350" s="159"/>
      <c r="B1350" s="119" t="s">
        <v>3794</v>
      </c>
      <c r="C1350" s="592">
        <v>240000000</v>
      </c>
      <c r="D1350" s="788">
        <v>236800000</v>
      </c>
      <c r="E1350" s="379">
        <f t="shared" si="93"/>
        <v>98.666666666666671</v>
      </c>
      <c r="F1350" s="379">
        <v>100</v>
      </c>
      <c r="G1350" s="111"/>
    </row>
    <row r="1351" spans="1:7" ht="31.5" customHeight="1" x14ac:dyDescent="0.25">
      <c r="A1351" s="159"/>
      <c r="B1351" s="119" t="s">
        <v>3795</v>
      </c>
      <c r="C1351" s="592">
        <v>876000000</v>
      </c>
      <c r="D1351" s="788">
        <v>873000000</v>
      </c>
      <c r="E1351" s="379">
        <f t="shared" si="93"/>
        <v>99.657534246575338</v>
      </c>
      <c r="F1351" s="379">
        <v>100</v>
      </c>
      <c r="G1351" s="111"/>
    </row>
    <row r="1352" spans="1:7" ht="20.100000000000001" customHeight="1" x14ac:dyDescent="0.25">
      <c r="A1352" s="159"/>
      <c r="B1352" s="111" t="s">
        <v>3796</v>
      </c>
      <c r="C1352" s="592">
        <v>740000000</v>
      </c>
      <c r="D1352" s="788">
        <v>740000000</v>
      </c>
      <c r="E1352" s="379">
        <f t="shared" si="93"/>
        <v>100</v>
      </c>
      <c r="F1352" s="379">
        <v>100</v>
      </c>
      <c r="G1352" s="111"/>
    </row>
    <row r="1353" spans="1:7" ht="20.100000000000001" customHeight="1" x14ac:dyDescent="0.25">
      <c r="A1353" s="159"/>
      <c r="B1353" s="111" t="s">
        <v>3797</v>
      </c>
      <c r="C1353" s="592">
        <v>240000000</v>
      </c>
      <c r="D1353" s="788">
        <v>240000000</v>
      </c>
      <c r="E1353" s="379">
        <f t="shared" si="93"/>
        <v>100</v>
      </c>
      <c r="F1353" s="379">
        <v>100</v>
      </c>
      <c r="G1353" s="111"/>
    </row>
    <row r="1354" spans="1:7" ht="34.5" customHeight="1" x14ac:dyDescent="0.25">
      <c r="A1354" s="159"/>
      <c r="B1354" s="119" t="s">
        <v>3798</v>
      </c>
      <c r="C1354" s="592">
        <v>150000000</v>
      </c>
      <c r="D1354" s="788">
        <v>150000000</v>
      </c>
      <c r="E1354" s="379">
        <f t="shared" si="93"/>
        <v>100</v>
      </c>
      <c r="F1354" s="379">
        <v>100</v>
      </c>
      <c r="G1354" s="111"/>
    </row>
    <row r="1355" spans="1:7" ht="31.5" customHeight="1" x14ac:dyDescent="0.25">
      <c r="A1355" s="159"/>
      <c r="B1355" s="119" t="s">
        <v>3799</v>
      </c>
      <c r="C1355" s="592">
        <v>500000000</v>
      </c>
      <c r="D1355" s="788">
        <v>500000000</v>
      </c>
      <c r="E1355" s="379">
        <f t="shared" si="93"/>
        <v>100</v>
      </c>
      <c r="F1355" s="379">
        <v>100</v>
      </c>
      <c r="G1355" s="111"/>
    </row>
    <row r="1356" spans="1:7" s="115" customFormat="1" ht="20.100000000000001" customHeight="1" x14ac:dyDescent="0.25">
      <c r="A1356" s="159"/>
      <c r="B1356" s="48" t="s">
        <v>92</v>
      </c>
      <c r="C1356" s="593">
        <f>SUM(C1357:C1358)</f>
        <v>1037000000</v>
      </c>
      <c r="D1356" s="849">
        <f>SUM(D1357:D1358)</f>
        <v>1037000000</v>
      </c>
      <c r="E1356" s="333">
        <f t="shared" si="93"/>
        <v>100</v>
      </c>
      <c r="F1356" s="333">
        <v>100</v>
      </c>
      <c r="G1356" s="121"/>
    </row>
    <row r="1357" spans="1:7" ht="20.100000000000001" customHeight="1" x14ac:dyDescent="0.25">
      <c r="A1357" s="159"/>
      <c r="B1357" s="119" t="s">
        <v>3800</v>
      </c>
      <c r="C1357" s="592">
        <v>200000000</v>
      </c>
      <c r="D1357" s="788">
        <v>200000000</v>
      </c>
      <c r="E1357" s="379">
        <f t="shared" si="93"/>
        <v>100</v>
      </c>
      <c r="F1357" s="379">
        <v>100</v>
      </c>
      <c r="G1357" s="111"/>
    </row>
    <row r="1358" spans="1:7" ht="20.100000000000001" customHeight="1" x14ac:dyDescent="0.25">
      <c r="A1358" s="159"/>
      <c r="B1358" s="119" t="s">
        <v>3801</v>
      </c>
      <c r="C1358" s="592">
        <v>837000000</v>
      </c>
      <c r="D1358" s="788">
        <v>837000000</v>
      </c>
      <c r="E1358" s="379">
        <f t="shared" si="93"/>
        <v>100</v>
      </c>
      <c r="F1358" s="379">
        <v>100</v>
      </c>
      <c r="G1358" s="111"/>
    </row>
    <row r="1359" spans="1:7" s="115" customFormat="1" ht="20.100000000000001" customHeight="1" x14ac:dyDescent="0.25">
      <c r="A1359" s="159"/>
      <c r="B1359" s="48" t="s">
        <v>1371</v>
      </c>
      <c r="C1359" s="593">
        <f>SUM(C1360)</f>
        <v>6775487900</v>
      </c>
      <c r="D1359" s="849">
        <f>D1360</f>
        <v>6775487900</v>
      </c>
      <c r="E1359" s="333">
        <f t="shared" si="93"/>
        <v>100</v>
      </c>
      <c r="F1359" s="333">
        <v>100</v>
      </c>
      <c r="G1359" s="121"/>
    </row>
    <row r="1360" spans="1:7" ht="34.5" customHeight="1" x14ac:dyDescent="0.25">
      <c r="A1360" s="159"/>
      <c r="B1360" s="119" t="s">
        <v>3802</v>
      </c>
      <c r="C1360" s="592">
        <v>6775487900</v>
      </c>
      <c r="D1360" s="850">
        <v>6775487900</v>
      </c>
      <c r="E1360" s="379">
        <f t="shared" si="93"/>
        <v>100</v>
      </c>
      <c r="F1360" s="379">
        <v>100</v>
      </c>
      <c r="G1360" s="111"/>
    </row>
    <row r="1361" spans="1:30" ht="20.100000000000001" customHeight="1" x14ac:dyDescent="0.25">
      <c r="A1361" s="159"/>
      <c r="B1361" s="32"/>
      <c r="C1361" s="592"/>
      <c r="D1361" s="108"/>
      <c r="E1361" s="117"/>
      <c r="F1361" s="117"/>
      <c r="G1361" s="111"/>
    </row>
    <row r="1362" spans="1:30" s="104" customFormat="1" ht="20.100000000000001" customHeight="1" x14ac:dyDescent="0.25">
      <c r="A1362" s="159">
        <v>29</v>
      </c>
      <c r="B1362" s="48" t="s">
        <v>3866</v>
      </c>
      <c r="C1362" s="595">
        <f>+C1363+C1397</f>
        <v>28666515300</v>
      </c>
      <c r="D1362" s="779">
        <f>+D1363+D1397</f>
        <v>26832703000</v>
      </c>
      <c r="E1362" s="114">
        <f>+D1362/C1362*100</f>
        <v>93.60294657090742</v>
      </c>
      <c r="F1362" s="114">
        <f>(F1363+F1397)/2</f>
        <v>97.884074074074078</v>
      </c>
      <c r="G1362" s="121"/>
      <c r="H1362" s="80"/>
      <c r="I1362" s="80"/>
      <c r="J1362" s="80"/>
      <c r="K1362" s="80"/>
      <c r="L1362" s="80"/>
      <c r="M1362" s="80"/>
      <c r="N1362" s="80"/>
      <c r="O1362" s="80"/>
      <c r="P1362" s="80"/>
      <c r="Q1362" s="80"/>
      <c r="R1362" s="80"/>
      <c r="S1362" s="80"/>
      <c r="T1362" s="80"/>
      <c r="U1362" s="80"/>
      <c r="V1362" s="80"/>
      <c r="W1362" s="80"/>
      <c r="X1362" s="80"/>
      <c r="Y1362" s="80"/>
      <c r="Z1362" s="80"/>
      <c r="AA1362" s="80"/>
      <c r="AB1362" s="80"/>
      <c r="AC1362" s="80"/>
      <c r="AD1362" s="80"/>
    </row>
    <row r="1363" spans="1:30" s="104" customFormat="1" ht="20.100000000000001" customHeight="1" x14ac:dyDescent="0.25">
      <c r="A1363" s="109"/>
      <c r="B1363" s="48" t="s">
        <v>678</v>
      </c>
      <c r="C1363" s="125">
        <f>C1364+C1368+C1378+C1380+C1390+C1393</f>
        <v>15450426225</v>
      </c>
      <c r="D1363" s="792">
        <f>D1364+D1368+D1378+D1380+D1390+D1393</f>
        <v>14082138000</v>
      </c>
      <c r="E1363" s="333">
        <f t="shared" ref="E1363:E1395" si="94">(D1363/C1363)*100</f>
        <v>91.144009847534164</v>
      </c>
      <c r="F1363" s="110">
        <f>SUM(F1364+F1368+F1378+F1380+F1390+F1393)/6</f>
        <v>95.768148148148157</v>
      </c>
      <c r="G1363" s="111"/>
      <c r="H1363" s="80"/>
      <c r="I1363" s="80"/>
      <c r="J1363" s="80"/>
      <c r="K1363" s="80"/>
      <c r="L1363" s="80"/>
      <c r="M1363" s="80"/>
      <c r="N1363" s="80"/>
      <c r="O1363" s="80"/>
      <c r="P1363" s="80"/>
      <c r="Q1363" s="80"/>
      <c r="R1363" s="80"/>
      <c r="S1363" s="80"/>
      <c r="T1363" s="80"/>
      <c r="U1363" s="80"/>
      <c r="V1363" s="80"/>
      <c r="W1363" s="80"/>
      <c r="X1363" s="80"/>
      <c r="Y1363" s="80"/>
      <c r="Z1363" s="80"/>
      <c r="AA1363" s="80"/>
      <c r="AB1363" s="80"/>
      <c r="AC1363" s="80"/>
      <c r="AD1363" s="80"/>
    </row>
    <row r="1364" spans="1:30" s="105" customFormat="1" ht="20.100000000000001" customHeight="1" x14ac:dyDescent="0.25">
      <c r="A1364" s="159"/>
      <c r="B1364" s="217" t="s">
        <v>797</v>
      </c>
      <c r="C1364" s="125">
        <f>SUM(C1365:C1367)</f>
        <v>6223973110</v>
      </c>
      <c r="D1364" s="792">
        <f>SUM(D1365:D1367)</f>
        <v>6102788000</v>
      </c>
      <c r="E1364" s="333">
        <f t="shared" si="94"/>
        <v>98.052930051942326</v>
      </c>
      <c r="F1364" s="110">
        <f>SUM(F1365:F1367)/3</f>
        <v>100</v>
      </c>
      <c r="G1364" s="121"/>
      <c r="H1364" s="115"/>
      <c r="I1364" s="115"/>
      <c r="J1364" s="115"/>
      <c r="K1364" s="115"/>
      <c r="L1364" s="115"/>
      <c r="M1364" s="115"/>
      <c r="N1364" s="115"/>
      <c r="O1364" s="115"/>
      <c r="P1364" s="115"/>
      <c r="Q1364" s="115"/>
      <c r="R1364" s="115"/>
      <c r="S1364" s="115"/>
      <c r="T1364" s="115"/>
      <c r="U1364" s="115"/>
      <c r="V1364" s="115"/>
      <c r="W1364" s="115"/>
      <c r="X1364" s="115"/>
      <c r="Y1364" s="115"/>
      <c r="Z1364" s="115"/>
      <c r="AA1364" s="115"/>
      <c r="AB1364" s="115"/>
      <c r="AC1364" s="115"/>
      <c r="AD1364" s="115"/>
    </row>
    <row r="1365" spans="1:30" s="104" customFormat="1" ht="20.100000000000001" customHeight="1" x14ac:dyDescent="0.25">
      <c r="A1365" s="109"/>
      <c r="B1365" s="119" t="s">
        <v>3298</v>
      </c>
      <c r="C1365" s="582">
        <v>1000000000</v>
      </c>
      <c r="D1365" s="791">
        <v>988030000</v>
      </c>
      <c r="E1365" s="379">
        <f t="shared" si="94"/>
        <v>98.802999999999997</v>
      </c>
      <c r="F1365" s="235">
        <v>100</v>
      </c>
      <c r="G1365" s="111"/>
      <c r="H1365" s="80"/>
      <c r="I1365" s="80"/>
      <c r="J1365" s="80"/>
      <c r="K1365" s="80"/>
      <c r="L1365" s="80"/>
      <c r="M1365" s="80"/>
      <c r="N1365" s="80"/>
      <c r="O1365" s="80"/>
      <c r="P1365" s="80"/>
      <c r="Q1365" s="80"/>
      <c r="R1365" s="80"/>
      <c r="S1365" s="80"/>
      <c r="T1365" s="80"/>
      <c r="U1365" s="80"/>
      <c r="V1365" s="80"/>
      <c r="W1365" s="80"/>
      <c r="X1365" s="80"/>
      <c r="Y1365" s="80"/>
      <c r="Z1365" s="80"/>
      <c r="AA1365" s="80"/>
      <c r="AB1365" s="80"/>
      <c r="AC1365" s="80"/>
      <c r="AD1365" s="80"/>
    </row>
    <row r="1366" spans="1:30" s="104" customFormat="1" ht="20.100000000000001" customHeight="1" x14ac:dyDescent="0.25">
      <c r="A1366" s="109"/>
      <c r="B1366" s="119" t="s">
        <v>3868</v>
      </c>
      <c r="C1366" s="582">
        <v>4000000000</v>
      </c>
      <c r="D1366" s="791">
        <v>3916880000</v>
      </c>
      <c r="E1366" s="379">
        <f>(D1366/C1366)*100</f>
        <v>97.921999999999997</v>
      </c>
      <c r="F1366" s="235">
        <v>100</v>
      </c>
      <c r="G1366" s="111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  <c r="R1366" s="80"/>
      <c r="S1366" s="80"/>
      <c r="T1366" s="80"/>
      <c r="U1366" s="80"/>
      <c r="V1366" s="80"/>
      <c r="W1366" s="80"/>
      <c r="X1366" s="80"/>
      <c r="Y1366" s="80"/>
      <c r="Z1366" s="80"/>
      <c r="AA1366" s="80"/>
      <c r="AB1366" s="80"/>
      <c r="AC1366" s="80"/>
      <c r="AD1366" s="80"/>
    </row>
    <row r="1367" spans="1:30" s="104" customFormat="1" ht="20.100000000000001" customHeight="1" x14ac:dyDescent="0.25">
      <c r="A1367" s="109"/>
      <c r="B1367" s="119" t="s">
        <v>3869</v>
      </c>
      <c r="C1367" s="582">
        <v>1223973110</v>
      </c>
      <c r="D1367" s="791">
        <v>1197878000</v>
      </c>
      <c r="E1367" s="379">
        <f t="shared" si="94"/>
        <v>97.867999730811079</v>
      </c>
      <c r="F1367" s="235">
        <v>100</v>
      </c>
      <c r="G1367" s="111"/>
      <c r="H1367" s="80"/>
      <c r="I1367" s="80"/>
      <c r="J1367" s="80"/>
      <c r="K1367" s="80"/>
      <c r="L1367" s="80"/>
      <c r="M1367" s="80"/>
      <c r="N1367" s="80"/>
      <c r="O1367" s="80"/>
      <c r="P1367" s="80"/>
      <c r="Q1367" s="80"/>
      <c r="R1367" s="80"/>
      <c r="S1367" s="80"/>
      <c r="T1367" s="80"/>
      <c r="U1367" s="80"/>
      <c r="V1367" s="80"/>
      <c r="W1367" s="80"/>
      <c r="X1367" s="80"/>
      <c r="Y1367" s="80"/>
      <c r="Z1367" s="80"/>
      <c r="AA1367" s="80"/>
      <c r="AB1367" s="80"/>
      <c r="AC1367" s="80"/>
      <c r="AD1367" s="80"/>
    </row>
    <row r="1368" spans="1:30" s="105" customFormat="1" ht="20.100000000000001" customHeight="1" x14ac:dyDescent="0.25">
      <c r="A1368" s="159"/>
      <c r="B1368" s="217" t="s">
        <v>680</v>
      </c>
      <c r="C1368" s="125">
        <f>SUM(C1369:C1377)</f>
        <v>6257928115</v>
      </c>
      <c r="D1368" s="792">
        <f>SUM(D1369:D1377)</f>
        <v>5715731000</v>
      </c>
      <c r="E1368" s="333">
        <f t="shared" si="94"/>
        <v>91.335836637362846</v>
      </c>
      <c r="F1368" s="110">
        <f>SUM(F1369:F1377)/9</f>
        <v>96.831111111111113</v>
      </c>
      <c r="G1368" s="121"/>
      <c r="H1368" s="115"/>
      <c r="I1368" s="115"/>
      <c r="J1368" s="115"/>
      <c r="K1368" s="115"/>
      <c r="L1368" s="115"/>
      <c r="M1368" s="115"/>
      <c r="N1368" s="115"/>
      <c r="O1368" s="115"/>
      <c r="P1368" s="115"/>
      <c r="Q1368" s="115"/>
      <c r="R1368" s="115"/>
      <c r="S1368" s="115"/>
      <c r="T1368" s="115"/>
      <c r="U1368" s="115"/>
      <c r="V1368" s="115"/>
      <c r="W1368" s="115"/>
      <c r="X1368" s="115"/>
      <c r="Y1368" s="115"/>
      <c r="Z1368" s="115"/>
      <c r="AA1368" s="115"/>
      <c r="AB1368" s="115"/>
      <c r="AC1368" s="115"/>
      <c r="AD1368" s="115"/>
    </row>
    <row r="1369" spans="1:30" s="104" customFormat="1" ht="20.100000000000001" customHeight="1" x14ac:dyDescent="0.25">
      <c r="A1369" s="109"/>
      <c r="B1369" s="119" t="s">
        <v>3870</v>
      </c>
      <c r="C1369" s="582">
        <v>3450000000</v>
      </c>
      <c r="D1369" s="791">
        <v>3204380000</v>
      </c>
      <c r="E1369" s="379">
        <f t="shared" si="94"/>
        <v>92.880579710144929</v>
      </c>
      <c r="F1369" s="235">
        <v>100</v>
      </c>
      <c r="G1369" s="111"/>
      <c r="H1369" s="80"/>
      <c r="I1369" s="80"/>
      <c r="J1369" s="80"/>
      <c r="K1369" s="80"/>
      <c r="L1369" s="80"/>
      <c r="M1369" s="80"/>
      <c r="N1369" s="80"/>
      <c r="O1369" s="80"/>
      <c r="P1369" s="80"/>
      <c r="Q1369" s="80"/>
      <c r="R1369" s="80"/>
      <c r="S1369" s="80"/>
      <c r="T1369" s="80"/>
      <c r="U1369" s="80"/>
      <c r="V1369" s="80"/>
      <c r="W1369" s="80"/>
      <c r="X1369" s="80"/>
      <c r="Y1369" s="80"/>
      <c r="Z1369" s="80"/>
      <c r="AA1369" s="80"/>
      <c r="AB1369" s="80"/>
      <c r="AC1369" s="80"/>
      <c r="AD1369" s="80"/>
    </row>
    <row r="1370" spans="1:30" s="104" customFormat="1" ht="20.100000000000001" customHeight="1" x14ac:dyDescent="0.25">
      <c r="A1370" s="109"/>
      <c r="B1370" s="119" t="s">
        <v>3871</v>
      </c>
      <c r="C1370" s="582">
        <v>189747385</v>
      </c>
      <c r="D1370" s="791">
        <v>188830000</v>
      </c>
      <c r="E1370" s="379">
        <f t="shared" si="94"/>
        <v>99.516522981331207</v>
      </c>
      <c r="F1370" s="235">
        <v>100</v>
      </c>
      <c r="G1370" s="111"/>
      <c r="H1370" s="80"/>
      <c r="I1370" s="80"/>
      <c r="J1370" s="80"/>
      <c r="K1370" s="80"/>
      <c r="L1370" s="80"/>
      <c r="M1370" s="80"/>
      <c r="N1370" s="80"/>
      <c r="O1370" s="80"/>
      <c r="P1370" s="80"/>
      <c r="Q1370" s="80"/>
      <c r="R1370" s="80"/>
      <c r="S1370" s="80"/>
      <c r="T1370" s="80"/>
      <c r="U1370" s="80"/>
      <c r="V1370" s="80"/>
      <c r="W1370" s="80"/>
      <c r="X1370" s="80"/>
      <c r="Y1370" s="80"/>
      <c r="Z1370" s="80"/>
      <c r="AA1370" s="80"/>
      <c r="AB1370" s="80"/>
      <c r="AC1370" s="80"/>
      <c r="AD1370" s="80"/>
    </row>
    <row r="1371" spans="1:30" s="104" customFormat="1" ht="20.100000000000001" customHeight="1" x14ac:dyDescent="0.25">
      <c r="A1371" s="109"/>
      <c r="B1371" s="119" t="s">
        <v>3872</v>
      </c>
      <c r="C1371" s="582">
        <v>550000000</v>
      </c>
      <c r="D1371" s="791">
        <v>540400000</v>
      </c>
      <c r="E1371" s="379">
        <f t="shared" si="94"/>
        <v>98.25454545454545</v>
      </c>
      <c r="F1371" s="235">
        <v>100</v>
      </c>
      <c r="G1371" s="111"/>
      <c r="H1371" s="80"/>
      <c r="I1371" s="80"/>
      <c r="J1371" s="80"/>
      <c r="K1371" s="80"/>
      <c r="L1371" s="80"/>
      <c r="M1371" s="80"/>
      <c r="N1371" s="80"/>
      <c r="O1371" s="80"/>
      <c r="P1371" s="80"/>
      <c r="Q1371" s="80"/>
      <c r="R1371" s="80"/>
      <c r="S1371" s="80"/>
      <c r="T1371" s="80"/>
      <c r="U1371" s="80"/>
      <c r="V1371" s="80"/>
      <c r="W1371" s="80"/>
      <c r="X1371" s="80"/>
      <c r="Y1371" s="80"/>
      <c r="Z1371" s="80"/>
      <c r="AA1371" s="80"/>
      <c r="AB1371" s="80"/>
      <c r="AC1371" s="80"/>
      <c r="AD1371" s="80"/>
    </row>
    <row r="1372" spans="1:30" s="104" customFormat="1" ht="20.100000000000001" customHeight="1" x14ac:dyDescent="0.25">
      <c r="A1372" s="109"/>
      <c r="B1372" s="119" t="s">
        <v>3873</v>
      </c>
      <c r="C1372" s="582">
        <v>200000000</v>
      </c>
      <c r="D1372" s="791">
        <v>199405000</v>
      </c>
      <c r="E1372" s="379">
        <f t="shared" si="94"/>
        <v>99.702500000000001</v>
      </c>
      <c r="F1372" s="235">
        <v>100</v>
      </c>
      <c r="G1372" s="111"/>
      <c r="H1372" s="80"/>
      <c r="I1372" s="80"/>
      <c r="J1372" s="80"/>
      <c r="K1372" s="80"/>
      <c r="L1372" s="80"/>
      <c r="M1372" s="80"/>
      <c r="N1372" s="80"/>
      <c r="O1372" s="80"/>
      <c r="P1372" s="80"/>
      <c r="Q1372" s="80"/>
      <c r="R1372" s="80"/>
      <c r="S1372" s="80"/>
      <c r="T1372" s="80"/>
      <c r="U1372" s="80"/>
      <c r="V1372" s="80"/>
      <c r="W1372" s="80"/>
      <c r="X1372" s="80"/>
      <c r="Y1372" s="80"/>
      <c r="Z1372" s="80"/>
      <c r="AA1372" s="80"/>
      <c r="AB1372" s="80"/>
      <c r="AC1372" s="80"/>
      <c r="AD1372" s="80"/>
    </row>
    <row r="1373" spans="1:30" s="104" customFormat="1" ht="20.100000000000001" customHeight="1" x14ac:dyDescent="0.25">
      <c r="A1373" s="109"/>
      <c r="B1373" s="119" t="s">
        <v>3874</v>
      </c>
      <c r="C1373" s="582">
        <v>400000000</v>
      </c>
      <c r="D1373" s="791">
        <v>397610000</v>
      </c>
      <c r="E1373" s="379">
        <f t="shared" si="94"/>
        <v>99.402500000000003</v>
      </c>
      <c r="F1373" s="235">
        <v>100</v>
      </c>
      <c r="G1373" s="111"/>
      <c r="H1373" s="80"/>
      <c r="I1373" s="80"/>
      <c r="J1373" s="80"/>
      <c r="K1373" s="80"/>
      <c r="L1373" s="80"/>
      <c r="M1373" s="80"/>
      <c r="N1373" s="80"/>
      <c r="O1373" s="80"/>
      <c r="P1373" s="80"/>
      <c r="Q1373" s="80"/>
      <c r="R1373" s="80"/>
      <c r="S1373" s="80"/>
      <c r="T1373" s="80"/>
      <c r="U1373" s="80"/>
      <c r="V1373" s="80"/>
      <c r="W1373" s="80"/>
      <c r="X1373" s="80"/>
      <c r="Y1373" s="80"/>
      <c r="Z1373" s="80"/>
      <c r="AA1373" s="80"/>
      <c r="AB1373" s="80"/>
      <c r="AC1373" s="80"/>
      <c r="AD1373" s="80"/>
    </row>
    <row r="1374" spans="1:30" s="104" customFormat="1" ht="20.100000000000001" customHeight="1" x14ac:dyDescent="0.25">
      <c r="A1374" s="109"/>
      <c r="B1374" s="119" t="s">
        <v>3875</v>
      </c>
      <c r="C1374" s="582">
        <v>118180730</v>
      </c>
      <c r="D1374" s="791">
        <v>117326000</v>
      </c>
      <c r="E1374" s="379">
        <f t="shared" si="94"/>
        <v>99.27676026370797</v>
      </c>
      <c r="F1374" s="235">
        <v>100</v>
      </c>
      <c r="G1374" s="111"/>
      <c r="H1374" s="80"/>
      <c r="I1374" s="80"/>
      <c r="J1374" s="80"/>
      <c r="K1374" s="80"/>
      <c r="L1374" s="80"/>
      <c r="M1374" s="80"/>
      <c r="N1374" s="80"/>
      <c r="O1374" s="80"/>
      <c r="P1374" s="80"/>
      <c r="Q1374" s="80"/>
      <c r="R1374" s="80"/>
      <c r="S1374" s="80"/>
      <c r="T1374" s="80"/>
      <c r="U1374" s="80"/>
      <c r="V1374" s="80"/>
      <c r="W1374" s="80"/>
      <c r="X1374" s="80"/>
      <c r="Y1374" s="80"/>
      <c r="Z1374" s="80"/>
      <c r="AA1374" s="80"/>
      <c r="AB1374" s="80"/>
      <c r="AC1374" s="80"/>
      <c r="AD1374" s="80"/>
    </row>
    <row r="1375" spans="1:30" s="104" customFormat="1" ht="20.100000000000001" customHeight="1" x14ac:dyDescent="0.25">
      <c r="A1375" s="109"/>
      <c r="B1375" s="119" t="s">
        <v>3876</v>
      </c>
      <c r="C1375" s="582">
        <v>500000000</v>
      </c>
      <c r="D1375" s="791">
        <v>497960000</v>
      </c>
      <c r="E1375" s="379">
        <f t="shared" si="94"/>
        <v>99.591999999999999</v>
      </c>
      <c r="F1375" s="235">
        <v>100</v>
      </c>
      <c r="G1375" s="111"/>
      <c r="H1375" s="80"/>
      <c r="I1375" s="80"/>
      <c r="J1375" s="80"/>
      <c r="K1375" s="80"/>
      <c r="L1375" s="80"/>
      <c r="M1375" s="80"/>
      <c r="N1375" s="80"/>
      <c r="O1375" s="80"/>
      <c r="P1375" s="80"/>
      <c r="Q1375" s="80"/>
      <c r="R1375" s="80"/>
      <c r="S1375" s="80"/>
      <c r="T1375" s="80"/>
      <c r="U1375" s="80"/>
      <c r="V1375" s="80"/>
      <c r="W1375" s="80"/>
      <c r="X1375" s="80"/>
      <c r="Y1375" s="80"/>
      <c r="Z1375" s="80"/>
      <c r="AA1375" s="80"/>
      <c r="AB1375" s="80"/>
      <c r="AC1375" s="80"/>
      <c r="AD1375" s="80"/>
    </row>
    <row r="1376" spans="1:30" s="104" customFormat="1" ht="34.5" customHeight="1" x14ac:dyDescent="0.25">
      <c r="A1376" s="109"/>
      <c r="B1376" s="119" t="s">
        <v>3877</v>
      </c>
      <c r="C1376" s="582">
        <v>500000000</v>
      </c>
      <c r="D1376" s="791">
        <v>219820000</v>
      </c>
      <c r="E1376" s="379">
        <f t="shared" si="94"/>
        <v>43.963999999999999</v>
      </c>
      <c r="F1376" s="235">
        <v>71.48</v>
      </c>
      <c r="G1376" s="111"/>
      <c r="H1376" s="80"/>
      <c r="I1376" s="80"/>
      <c r="J1376" s="80"/>
      <c r="K1376" s="80"/>
      <c r="L1376" s="80"/>
      <c r="M1376" s="80"/>
      <c r="N1376" s="80"/>
      <c r="O1376" s="80"/>
      <c r="P1376" s="80"/>
      <c r="Q1376" s="80"/>
      <c r="R1376" s="80"/>
      <c r="S1376" s="80"/>
      <c r="T1376" s="80"/>
      <c r="U1376" s="80"/>
      <c r="V1376" s="80"/>
      <c r="W1376" s="80"/>
      <c r="X1376" s="80"/>
      <c r="Y1376" s="80"/>
      <c r="Z1376" s="80"/>
      <c r="AA1376" s="80"/>
      <c r="AB1376" s="80"/>
      <c r="AC1376" s="80"/>
      <c r="AD1376" s="80"/>
    </row>
    <row r="1377" spans="1:30" s="104" customFormat="1" ht="34.5" customHeight="1" x14ac:dyDescent="0.25">
      <c r="A1377" s="109"/>
      <c r="B1377" s="119" t="s">
        <v>3878</v>
      </c>
      <c r="C1377" s="582">
        <v>350000000</v>
      </c>
      <c r="D1377" s="791">
        <v>350000000</v>
      </c>
      <c r="E1377" s="379">
        <f t="shared" si="94"/>
        <v>100</v>
      </c>
      <c r="F1377" s="235">
        <v>100</v>
      </c>
      <c r="G1377" s="111"/>
      <c r="H1377" s="80"/>
      <c r="I1377" s="80"/>
      <c r="J1377" s="80"/>
      <c r="K1377" s="80"/>
      <c r="L1377" s="80"/>
      <c r="M1377" s="80"/>
      <c r="N1377" s="80"/>
      <c r="O1377" s="80"/>
      <c r="P1377" s="80"/>
      <c r="Q1377" s="80"/>
      <c r="R1377" s="80"/>
      <c r="S1377" s="80"/>
      <c r="T1377" s="80"/>
      <c r="U1377" s="80"/>
      <c r="V1377" s="80"/>
      <c r="W1377" s="80"/>
      <c r="X1377" s="80"/>
      <c r="Y1377" s="80"/>
      <c r="Z1377" s="80"/>
      <c r="AA1377" s="80"/>
      <c r="AB1377" s="80"/>
      <c r="AC1377" s="80"/>
      <c r="AD1377" s="80"/>
    </row>
    <row r="1378" spans="1:30" s="105" customFormat="1" ht="20.100000000000001" customHeight="1" x14ac:dyDescent="0.25">
      <c r="A1378" s="159"/>
      <c r="B1378" s="48" t="s">
        <v>693</v>
      </c>
      <c r="C1378" s="125">
        <f>SUM(C1379:C1379)</f>
        <v>250000000</v>
      </c>
      <c r="D1378" s="792">
        <f>SUM(D1379:D1379)</f>
        <v>247332000</v>
      </c>
      <c r="E1378" s="333">
        <f t="shared" si="94"/>
        <v>98.9328</v>
      </c>
      <c r="F1378" s="110">
        <f>F1379/1</f>
        <v>100</v>
      </c>
      <c r="G1378" s="121"/>
      <c r="H1378" s="115"/>
      <c r="I1378" s="115"/>
      <c r="J1378" s="115"/>
      <c r="K1378" s="115"/>
      <c r="L1378" s="115"/>
      <c r="M1378" s="115"/>
      <c r="N1378" s="115"/>
      <c r="O1378" s="115"/>
      <c r="P1378" s="115"/>
      <c r="Q1378" s="115"/>
      <c r="R1378" s="115"/>
      <c r="S1378" s="115"/>
      <c r="T1378" s="115"/>
      <c r="U1378" s="115"/>
      <c r="V1378" s="115"/>
      <c r="W1378" s="115"/>
      <c r="X1378" s="115"/>
      <c r="Y1378" s="115"/>
      <c r="Z1378" s="115"/>
      <c r="AA1378" s="115"/>
      <c r="AB1378" s="115"/>
      <c r="AC1378" s="115"/>
      <c r="AD1378" s="115"/>
    </row>
    <row r="1379" spans="1:30" s="104" customFormat="1" ht="28.5" customHeight="1" x14ac:dyDescent="0.25">
      <c r="A1379" s="109"/>
      <c r="B1379" s="119" t="s">
        <v>3879</v>
      </c>
      <c r="C1379" s="582">
        <v>250000000</v>
      </c>
      <c r="D1379" s="791">
        <v>247332000</v>
      </c>
      <c r="E1379" s="379">
        <f t="shared" si="94"/>
        <v>98.9328</v>
      </c>
      <c r="F1379" s="235">
        <v>100</v>
      </c>
      <c r="G1379" s="111"/>
      <c r="H1379" s="80"/>
      <c r="I1379" s="80"/>
      <c r="J1379" s="80"/>
      <c r="K1379" s="80"/>
      <c r="L1379" s="80"/>
      <c r="M1379" s="80"/>
      <c r="N1379" s="80"/>
      <c r="O1379" s="80"/>
      <c r="P1379" s="80"/>
      <c r="Q1379" s="80"/>
      <c r="R1379" s="80"/>
      <c r="S1379" s="80"/>
      <c r="T1379" s="80"/>
      <c r="U1379" s="80"/>
      <c r="V1379" s="80"/>
      <c r="W1379" s="80"/>
      <c r="X1379" s="80"/>
      <c r="Y1379" s="80"/>
      <c r="Z1379" s="80"/>
      <c r="AA1379" s="80"/>
      <c r="AB1379" s="80"/>
      <c r="AC1379" s="80"/>
      <c r="AD1379" s="80"/>
    </row>
    <row r="1380" spans="1:30" s="104" customFormat="1" ht="20.100000000000001" customHeight="1" x14ac:dyDescent="0.25">
      <c r="A1380" s="109"/>
      <c r="B1380" s="48" t="s">
        <v>92</v>
      </c>
      <c r="C1380" s="125">
        <f>SUM(C1381:C1389)</f>
        <v>2300000000</v>
      </c>
      <c r="D1380" s="791">
        <f>SUM(D1381:D1389)</f>
        <v>1600000000</v>
      </c>
      <c r="E1380" s="379">
        <f t="shared" si="94"/>
        <v>69.565217391304344</v>
      </c>
      <c r="F1380" s="235">
        <f>SUM(F1381:F1389)/9</f>
        <v>77.777777777777771</v>
      </c>
      <c r="G1380" s="111"/>
      <c r="H1380" s="80"/>
      <c r="I1380" s="80"/>
      <c r="J1380" s="80"/>
      <c r="K1380" s="80"/>
      <c r="L1380" s="80"/>
      <c r="M1380" s="80"/>
      <c r="N1380" s="80"/>
      <c r="O1380" s="80"/>
      <c r="P1380" s="80"/>
      <c r="Q1380" s="80"/>
      <c r="R1380" s="80"/>
      <c r="S1380" s="80"/>
      <c r="T1380" s="80"/>
      <c r="U1380" s="80"/>
      <c r="V1380" s="80"/>
      <c r="W1380" s="80"/>
      <c r="X1380" s="80"/>
      <c r="Y1380" s="80"/>
      <c r="Z1380" s="80"/>
      <c r="AA1380" s="80"/>
      <c r="AB1380" s="80"/>
      <c r="AC1380" s="80"/>
      <c r="AD1380" s="80"/>
    </row>
    <row r="1381" spans="1:30" s="104" customFormat="1" ht="20.100000000000001" customHeight="1" x14ac:dyDescent="0.25">
      <c r="A1381" s="109"/>
      <c r="B1381" s="119" t="s">
        <v>3880</v>
      </c>
      <c r="C1381" s="582">
        <v>100000000</v>
      </c>
      <c r="D1381" s="791">
        <v>100000000</v>
      </c>
      <c r="E1381" s="379">
        <f t="shared" si="94"/>
        <v>100</v>
      </c>
      <c r="F1381" s="235">
        <v>100</v>
      </c>
      <c r="G1381" s="111"/>
      <c r="H1381" s="80"/>
      <c r="I1381" s="80"/>
      <c r="J1381" s="80"/>
      <c r="K1381" s="80"/>
      <c r="L1381" s="80"/>
      <c r="M1381" s="80"/>
      <c r="N1381" s="80"/>
      <c r="O1381" s="80"/>
      <c r="P1381" s="80"/>
      <c r="Q1381" s="80"/>
      <c r="R1381" s="80"/>
      <c r="S1381" s="80"/>
      <c r="T1381" s="80"/>
      <c r="U1381" s="80"/>
      <c r="V1381" s="80"/>
      <c r="W1381" s="80"/>
      <c r="X1381" s="80"/>
      <c r="Y1381" s="80"/>
      <c r="Z1381" s="80"/>
      <c r="AA1381" s="80"/>
      <c r="AB1381" s="80"/>
      <c r="AC1381" s="80"/>
      <c r="AD1381" s="80"/>
    </row>
    <row r="1382" spans="1:30" s="104" customFormat="1" ht="20.100000000000001" customHeight="1" x14ac:dyDescent="0.25">
      <c r="A1382" s="109"/>
      <c r="B1382" s="119" t="s">
        <v>3881</v>
      </c>
      <c r="C1382" s="582">
        <v>300000000</v>
      </c>
      <c r="D1382" s="791">
        <v>300000000</v>
      </c>
      <c r="E1382" s="379">
        <f t="shared" si="94"/>
        <v>100</v>
      </c>
      <c r="F1382" s="235">
        <v>100</v>
      </c>
      <c r="G1382" s="111"/>
      <c r="H1382" s="80"/>
      <c r="I1382" s="80"/>
      <c r="J1382" s="80"/>
      <c r="K1382" s="80"/>
      <c r="L1382" s="80"/>
      <c r="M1382" s="80"/>
      <c r="N1382" s="80"/>
      <c r="O1382" s="80"/>
      <c r="P1382" s="80"/>
      <c r="Q1382" s="80"/>
      <c r="R1382" s="80"/>
      <c r="S1382" s="80"/>
      <c r="T1382" s="80"/>
      <c r="U1382" s="80"/>
      <c r="V1382" s="80"/>
      <c r="W1382" s="80"/>
      <c r="X1382" s="80"/>
      <c r="Y1382" s="80"/>
      <c r="Z1382" s="80"/>
      <c r="AA1382" s="80"/>
      <c r="AB1382" s="80"/>
      <c r="AC1382" s="80"/>
      <c r="AD1382" s="80"/>
    </row>
    <row r="1383" spans="1:30" s="104" customFormat="1" ht="20.100000000000001" customHeight="1" x14ac:dyDescent="0.25">
      <c r="A1383" s="109"/>
      <c r="B1383" s="119" t="s">
        <v>3882</v>
      </c>
      <c r="C1383" s="582">
        <v>300000000</v>
      </c>
      <c r="D1383" s="791">
        <v>300000000</v>
      </c>
      <c r="E1383" s="379">
        <f t="shared" si="94"/>
        <v>100</v>
      </c>
      <c r="F1383" s="235">
        <v>100</v>
      </c>
      <c r="G1383" s="111"/>
      <c r="H1383" s="80"/>
      <c r="I1383" s="80"/>
      <c r="J1383" s="80"/>
      <c r="K1383" s="80"/>
      <c r="L1383" s="80"/>
      <c r="M1383" s="80"/>
      <c r="N1383" s="80"/>
      <c r="O1383" s="80"/>
      <c r="P1383" s="80"/>
      <c r="Q1383" s="80"/>
      <c r="R1383" s="80"/>
      <c r="S1383" s="80"/>
      <c r="T1383" s="80"/>
      <c r="U1383" s="80"/>
      <c r="V1383" s="80"/>
      <c r="W1383" s="80"/>
      <c r="X1383" s="80"/>
      <c r="Y1383" s="80"/>
      <c r="Z1383" s="80"/>
      <c r="AA1383" s="80"/>
      <c r="AB1383" s="80"/>
      <c r="AC1383" s="80"/>
      <c r="AD1383" s="80"/>
    </row>
    <row r="1384" spans="1:30" s="104" customFormat="1" ht="20.100000000000001" customHeight="1" x14ac:dyDescent="0.25">
      <c r="A1384" s="109"/>
      <c r="B1384" s="119" t="s">
        <v>3883</v>
      </c>
      <c r="C1384" s="582">
        <v>100000000</v>
      </c>
      <c r="D1384" s="791">
        <v>100000000</v>
      </c>
      <c r="E1384" s="379">
        <f t="shared" si="94"/>
        <v>100</v>
      </c>
      <c r="F1384" s="235">
        <v>100</v>
      </c>
      <c r="G1384" s="111"/>
      <c r="H1384" s="80"/>
      <c r="I1384" s="80"/>
      <c r="J1384" s="80"/>
      <c r="K1384" s="80"/>
      <c r="L1384" s="80"/>
      <c r="M1384" s="80"/>
      <c r="N1384" s="80"/>
      <c r="O1384" s="80"/>
      <c r="P1384" s="80"/>
      <c r="Q1384" s="80"/>
      <c r="R1384" s="80"/>
      <c r="S1384" s="80"/>
      <c r="T1384" s="80"/>
      <c r="U1384" s="80"/>
      <c r="V1384" s="80"/>
      <c r="W1384" s="80"/>
      <c r="X1384" s="80"/>
      <c r="Y1384" s="80"/>
      <c r="Z1384" s="80"/>
      <c r="AA1384" s="80"/>
      <c r="AB1384" s="80"/>
      <c r="AC1384" s="80"/>
      <c r="AD1384" s="80"/>
    </row>
    <row r="1385" spans="1:30" s="104" customFormat="1" ht="20.100000000000001" customHeight="1" x14ac:dyDescent="0.25">
      <c r="A1385" s="109"/>
      <c r="B1385" s="119" t="s">
        <v>3884</v>
      </c>
      <c r="C1385" s="582">
        <v>200000000</v>
      </c>
      <c r="D1385" s="791">
        <v>200000000</v>
      </c>
      <c r="E1385" s="379">
        <f t="shared" si="94"/>
        <v>100</v>
      </c>
      <c r="F1385" s="235">
        <v>100</v>
      </c>
      <c r="G1385" s="111"/>
      <c r="H1385" s="80"/>
      <c r="I1385" s="80"/>
      <c r="J1385" s="80"/>
      <c r="K1385" s="80"/>
      <c r="L1385" s="80"/>
      <c r="M1385" s="80"/>
      <c r="N1385" s="80"/>
      <c r="O1385" s="80"/>
      <c r="P1385" s="80"/>
      <c r="Q1385" s="80"/>
      <c r="R1385" s="80"/>
      <c r="S1385" s="80"/>
      <c r="T1385" s="80"/>
      <c r="U1385" s="80"/>
      <c r="V1385" s="80"/>
      <c r="W1385" s="80"/>
      <c r="X1385" s="80"/>
      <c r="Y1385" s="80"/>
      <c r="Z1385" s="80"/>
      <c r="AA1385" s="80"/>
      <c r="AB1385" s="80"/>
      <c r="AC1385" s="80"/>
      <c r="AD1385" s="80"/>
    </row>
    <row r="1386" spans="1:30" s="104" customFormat="1" ht="34.5" customHeight="1" x14ac:dyDescent="0.25">
      <c r="A1386" s="109"/>
      <c r="B1386" s="119" t="s">
        <v>3885</v>
      </c>
      <c r="C1386" s="582">
        <v>350000000</v>
      </c>
      <c r="D1386" s="791">
        <v>350000000</v>
      </c>
      <c r="E1386" s="379">
        <f t="shared" si="94"/>
        <v>100</v>
      </c>
      <c r="F1386" s="235">
        <v>100</v>
      </c>
      <c r="G1386" s="111"/>
      <c r="H1386" s="80"/>
      <c r="I1386" s="80"/>
      <c r="J1386" s="80"/>
      <c r="K1386" s="80"/>
      <c r="L1386" s="80"/>
      <c r="M1386" s="80"/>
      <c r="N1386" s="80"/>
      <c r="O1386" s="80"/>
      <c r="P1386" s="80"/>
      <c r="Q1386" s="80"/>
      <c r="R1386" s="80"/>
      <c r="S1386" s="80"/>
      <c r="T1386" s="80"/>
      <c r="U1386" s="80"/>
      <c r="V1386" s="80"/>
      <c r="W1386" s="80"/>
      <c r="X1386" s="80"/>
      <c r="Y1386" s="80"/>
      <c r="Z1386" s="80"/>
      <c r="AA1386" s="80"/>
      <c r="AB1386" s="80"/>
      <c r="AC1386" s="80"/>
      <c r="AD1386" s="80"/>
    </row>
    <row r="1387" spans="1:30" s="104" customFormat="1" ht="20.100000000000001" customHeight="1" x14ac:dyDescent="0.25">
      <c r="A1387" s="109"/>
      <c r="B1387" s="119" t="s">
        <v>3886</v>
      </c>
      <c r="C1387" s="582">
        <v>250000000</v>
      </c>
      <c r="D1387" s="791">
        <v>250000000</v>
      </c>
      <c r="E1387" s="379">
        <f t="shared" si="94"/>
        <v>100</v>
      </c>
      <c r="F1387" s="235">
        <v>100</v>
      </c>
      <c r="G1387" s="111"/>
      <c r="H1387" s="80"/>
      <c r="I1387" s="80"/>
      <c r="J1387" s="80"/>
      <c r="K1387" s="80"/>
      <c r="L1387" s="80"/>
      <c r="M1387" s="80"/>
      <c r="N1387" s="80"/>
      <c r="O1387" s="80"/>
      <c r="P1387" s="80"/>
      <c r="Q1387" s="80"/>
      <c r="R1387" s="80"/>
      <c r="S1387" s="80"/>
      <c r="T1387" s="80"/>
      <c r="U1387" s="80"/>
      <c r="V1387" s="80"/>
      <c r="W1387" s="80"/>
      <c r="X1387" s="80"/>
      <c r="Y1387" s="80"/>
      <c r="Z1387" s="80"/>
      <c r="AA1387" s="80"/>
      <c r="AB1387" s="80"/>
      <c r="AC1387" s="80"/>
      <c r="AD1387" s="80"/>
    </row>
    <row r="1388" spans="1:30" s="104" customFormat="1" ht="34.5" customHeight="1" x14ac:dyDescent="0.25">
      <c r="A1388" s="109"/>
      <c r="B1388" s="119" t="s">
        <v>3887</v>
      </c>
      <c r="C1388" s="582">
        <v>300000000</v>
      </c>
      <c r="D1388" s="791">
        <v>0</v>
      </c>
      <c r="E1388" s="379">
        <f t="shared" si="94"/>
        <v>0</v>
      </c>
      <c r="F1388" s="235">
        <v>0</v>
      </c>
      <c r="G1388" s="111"/>
      <c r="H1388" s="80"/>
      <c r="I1388" s="80"/>
      <c r="J1388" s="80"/>
      <c r="K1388" s="80"/>
      <c r="L1388" s="80"/>
      <c r="M1388" s="80"/>
      <c r="N1388" s="80"/>
      <c r="O1388" s="80"/>
      <c r="P1388" s="80"/>
      <c r="Q1388" s="80"/>
      <c r="R1388" s="80"/>
      <c r="S1388" s="80"/>
      <c r="T1388" s="80"/>
      <c r="U1388" s="80"/>
      <c r="V1388" s="80"/>
      <c r="W1388" s="80"/>
      <c r="X1388" s="80"/>
      <c r="Y1388" s="80"/>
      <c r="Z1388" s="80"/>
      <c r="AA1388" s="80"/>
      <c r="AB1388" s="80"/>
      <c r="AC1388" s="80"/>
      <c r="AD1388" s="80"/>
    </row>
    <row r="1389" spans="1:30" s="104" customFormat="1" ht="34.5" customHeight="1" x14ac:dyDescent="0.25">
      <c r="A1389" s="109"/>
      <c r="B1389" s="119" t="s">
        <v>3888</v>
      </c>
      <c r="C1389" s="582">
        <v>400000000</v>
      </c>
      <c r="D1389" s="791">
        <v>0</v>
      </c>
      <c r="E1389" s="379">
        <f t="shared" si="94"/>
        <v>0</v>
      </c>
      <c r="F1389" s="235">
        <v>0</v>
      </c>
      <c r="G1389" s="111"/>
      <c r="H1389" s="80"/>
      <c r="I1389" s="80"/>
      <c r="J1389" s="80"/>
      <c r="K1389" s="80"/>
      <c r="L1389" s="80"/>
      <c r="M1389" s="80"/>
      <c r="N1389" s="80"/>
      <c r="O1389" s="80"/>
      <c r="P1389" s="80"/>
      <c r="Q1389" s="80"/>
      <c r="R1389" s="80"/>
      <c r="S1389" s="80"/>
      <c r="T1389" s="80"/>
      <c r="U1389" s="80"/>
      <c r="V1389" s="80"/>
      <c r="W1389" s="80"/>
      <c r="X1389" s="80"/>
      <c r="Y1389" s="80"/>
      <c r="Z1389" s="80"/>
      <c r="AA1389" s="80"/>
      <c r="AB1389" s="80"/>
      <c r="AC1389" s="80"/>
      <c r="AD1389" s="80"/>
    </row>
    <row r="1390" spans="1:30" s="105" customFormat="1" ht="20.100000000000001" customHeight="1" x14ac:dyDescent="0.25">
      <c r="A1390" s="159"/>
      <c r="B1390" s="217" t="s">
        <v>100</v>
      </c>
      <c r="C1390" s="125">
        <f>SUM(C1391:C1392)</f>
        <v>18525000</v>
      </c>
      <c r="D1390" s="792">
        <f>SUM(D1391:D1392)</f>
        <v>18525000</v>
      </c>
      <c r="E1390" s="333">
        <f t="shared" si="94"/>
        <v>100</v>
      </c>
      <c r="F1390" s="110">
        <f>SUM(F1391:F1392)/2</f>
        <v>100</v>
      </c>
      <c r="G1390" s="121"/>
      <c r="H1390" s="115"/>
      <c r="I1390" s="115"/>
      <c r="J1390" s="115"/>
      <c r="K1390" s="115"/>
      <c r="L1390" s="115"/>
      <c r="M1390" s="115"/>
      <c r="N1390" s="115"/>
      <c r="O1390" s="115"/>
      <c r="P1390" s="115"/>
      <c r="Q1390" s="115"/>
      <c r="R1390" s="115"/>
      <c r="S1390" s="115"/>
      <c r="T1390" s="115"/>
      <c r="U1390" s="115"/>
      <c r="V1390" s="115"/>
      <c r="W1390" s="115"/>
      <c r="X1390" s="115"/>
      <c r="Y1390" s="115"/>
      <c r="Z1390" s="115"/>
      <c r="AA1390" s="115"/>
      <c r="AB1390" s="115"/>
      <c r="AC1390" s="115"/>
      <c r="AD1390" s="115"/>
    </row>
    <row r="1391" spans="1:30" s="104" customFormat="1" ht="20.100000000000001" customHeight="1" x14ac:dyDescent="0.25">
      <c r="A1391" s="109"/>
      <c r="B1391" s="119" t="s">
        <v>3889</v>
      </c>
      <c r="C1391" s="582">
        <v>6525000</v>
      </c>
      <c r="D1391" s="791">
        <v>6525000</v>
      </c>
      <c r="E1391" s="379">
        <f t="shared" si="94"/>
        <v>100</v>
      </c>
      <c r="F1391" s="235">
        <v>100</v>
      </c>
      <c r="G1391" s="111"/>
      <c r="H1391" s="80"/>
      <c r="I1391" s="80"/>
      <c r="J1391" s="80"/>
      <c r="K1391" s="80"/>
      <c r="L1391" s="80"/>
      <c r="M1391" s="80"/>
      <c r="N1391" s="80"/>
      <c r="O1391" s="80"/>
      <c r="P1391" s="80"/>
      <c r="Q1391" s="80"/>
      <c r="R1391" s="80"/>
      <c r="S1391" s="80"/>
      <c r="T1391" s="80"/>
      <c r="U1391" s="80"/>
      <c r="V1391" s="80"/>
      <c r="W1391" s="80"/>
      <c r="X1391" s="80"/>
      <c r="Y1391" s="80"/>
      <c r="Z1391" s="80"/>
      <c r="AA1391" s="80"/>
      <c r="AB1391" s="80"/>
      <c r="AC1391" s="80"/>
      <c r="AD1391" s="80"/>
    </row>
    <row r="1392" spans="1:30" s="104" customFormat="1" ht="20.100000000000001" customHeight="1" x14ac:dyDescent="0.25">
      <c r="A1392" s="109"/>
      <c r="B1392" s="119" t="s">
        <v>3890</v>
      </c>
      <c r="C1392" s="582">
        <v>12000000</v>
      </c>
      <c r="D1392" s="791">
        <v>12000000</v>
      </c>
      <c r="E1392" s="379">
        <f t="shared" si="94"/>
        <v>100</v>
      </c>
      <c r="F1392" s="235">
        <v>100</v>
      </c>
      <c r="G1392" s="111"/>
      <c r="H1392" s="80"/>
      <c r="I1392" s="80"/>
      <c r="J1392" s="80"/>
      <c r="K1392" s="80"/>
      <c r="L1392" s="80"/>
      <c r="M1392" s="80"/>
      <c r="N1392" s="80"/>
      <c r="O1392" s="80"/>
      <c r="P1392" s="80"/>
      <c r="Q1392" s="80"/>
      <c r="R1392" s="80"/>
      <c r="S1392" s="80"/>
      <c r="T1392" s="80"/>
      <c r="U1392" s="80"/>
      <c r="V1392" s="80"/>
      <c r="W1392" s="80"/>
      <c r="X1392" s="80"/>
      <c r="Y1392" s="80"/>
      <c r="Z1392" s="80"/>
      <c r="AA1392" s="80"/>
      <c r="AB1392" s="80"/>
      <c r="AC1392" s="80"/>
      <c r="AD1392" s="80"/>
    </row>
    <row r="1393" spans="1:30" s="105" customFormat="1" ht="20.100000000000001" customHeight="1" x14ac:dyDescent="0.25">
      <c r="A1393" s="159"/>
      <c r="B1393" s="217" t="s">
        <v>109</v>
      </c>
      <c r="C1393" s="125">
        <f>SUM(C1394:C1395)</f>
        <v>400000000</v>
      </c>
      <c r="D1393" s="792">
        <f>SUM(D1394:D1395)</f>
        <v>397762000</v>
      </c>
      <c r="E1393" s="333">
        <f t="shared" si="94"/>
        <v>99.4405</v>
      </c>
      <c r="F1393" s="110">
        <f>SUM(F1394:F1395)/2</f>
        <v>100</v>
      </c>
      <c r="G1393" s="121"/>
      <c r="H1393" s="115"/>
      <c r="I1393" s="115"/>
      <c r="J1393" s="115"/>
      <c r="K1393" s="115"/>
      <c r="L1393" s="115"/>
      <c r="M1393" s="115"/>
      <c r="N1393" s="115"/>
      <c r="O1393" s="115"/>
      <c r="P1393" s="115"/>
      <c r="Q1393" s="115"/>
      <c r="R1393" s="115"/>
      <c r="S1393" s="115"/>
      <c r="T1393" s="115"/>
      <c r="U1393" s="115"/>
      <c r="V1393" s="115"/>
      <c r="W1393" s="115"/>
      <c r="X1393" s="115"/>
      <c r="Y1393" s="115"/>
      <c r="Z1393" s="115"/>
      <c r="AA1393" s="115"/>
      <c r="AB1393" s="115"/>
      <c r="AC1393" s="115"/>
      <c r="AD1393" s="115"/>
    </row>
    <row r="1394" spans="1:30" s="104" customFormat="1" ht="20.100000000000001" customHeight="1" x14ac:dyDescent="0.25">
      <c r="A1394" s="109"/>
      <c r="B1394" s="119" t="s">
        <v>3891</v>
      </c>
      <c r="C1394" s="582">
        <v>200000000</v>
      </c>
      <c r="D1394" s="791">
        <v>198507000</v>
      </c>
      <c r="E1394" s="379">
        <f t="shared" si="94"/>
        <v>99.253499999999988</v>
      </c>
      <c r="F1394" s="235">
        <v>100</v>
      </c>
      <c r="G1394" s="111"/>
      <c r="H1394" s="80"/>
      <c r="I1394" s="80"/>
      <c r="J1394" s="80"/>
      <c r="K1394" s="80"/>
      <c r="L1394" s="80"/>
      <c r="M1394" s="80"/>
      <c r="N1394" s="80"/>
      <c r="O1394" s="80"/>
      <c r="P1394" s="80"/>
      <c r="Q1394" s="80"/>
      <c r="R1394" s="80"/>
      <c r="S1394" s="80"/>
      <c r="T1394" s="80"/>
      <c r="U1394" s="80"/>
      <c r="V1394" s="80"/>
      <c r="W1394" s="80"/>
      <c r="X1394" s="80"/>
      <c r="Y1394" s="80"/>
      <c r="Z1394" s="80"/>
      <c r="AA1394" s="80"/>
      <c r="AB1394" s="80"/>
      <c r="AC1394" s="80"/>
      <c r="AD1394" s="80"/>
    </row>
    <row r="1395" spans="1:30" s="104" customFormat="1" ht="20.100000000000001" customHeight="1" x14ac:dyDescent="0.25">
      <c r="A1395" s="109"/>
      <c r="B1395" s="119" t="s">
        <v>3892</v>
      </c>
      <c r="C1395" s="582">
        <v>200000000</v>
      </c>
      <c r="D1395" s="791">
        <v>199255000</v>
      </c>
      <c r="E1395" s="379">
        <f t="shared" si="94"/>
        <v>99.627499999999998</v>
      </c>
      <c r="F1395" s="235">
        <v>100</v>
      </c>
      <c r="G1395" s="111"/>
      <c r="H1395" s="80"/>
      <c r="I1395" s="80"/>
      <c r="J1395" s="80"/>
      <c r="K1395" s="80"/>
      <c r="L1395" s="80"/>
      <c r="M1395" s="80"/>
      <c r="N1395" s="80"/>
      <c r="O1395" s="80"/>
      <c r="P1395" s="80"/>
      <c r="Q1395" s="80"/>
      <c r="R1395" s="80"/>
      <c r="S1395" s="80"/>
      <c r="T1395" s="80"/>
      <c r="U1395" s="80"/>
      <c r="V1395" s="80"/>
      <c r="W1395" s="80"/>
      <c r="X1395" s="80"/>
      <c r="Y1395" s="80"/>
      <c r="Z1395" s="80"/>
      <c r="AA1395" s="80"/>
      <c r="AB1395" s="80"/>
      <c r="AC1395" s="80"/>
      <c r="AD1395" s="80"/>
    </row>
    <row r="1396" spans="1:30" s="104" customFormat="1" ht="13.5" customHeight="1" x14ac:dyDescent="0.25">
      <c r="A1396" s="109"/>
      <c r="B1396" s="32"/>
      <c r="C1396" s="582"/>
      <c r="D1396" s="778"/>
      <c r="E1396" s="117"/>
      <c r="F1396" s="114"/>
      <c r="G1396" s="111"/>
      <c r="H1396" s="80"/>
      <c r="I1396" s="80"/>
      <c r="J1396" s="80"/>
      <c r="K1396" s="80"/>
      <c r="L1396" s="80"/>
      <c r="M1396" s="80"/>
      <c r="N1396" s="80"/>
      <c r="O1396" s="80"/>
      <c r="P1396" s="80"/>
      <c r="Q1396" s="80"/>
      <c r="R1396" s="80"/>
      <c r="S1396" s="80"/>
      <c r="T1396" s="80"/>
      <c r="U1396" s="80"/>
      <c r="V1396" s="80"/>
      <c r="W1396" s="80"/>
      <c r="X1396" s="80"/>
      <c r="Y1396" s="80"/>
      <c r="Z1396" s="80"/>
      <c r="AA1396" s="80"/>
      <c r="AB1396" s="80"/>
      <c r="AC1396" s="80"/>
      <c r="AD1396" s="80"/>
    </row>
    <row r="1397" spans="1:30" s="105" customFormat="1" ht="20.100000000000001" customHeight="1" x14ac:dyDescent="0.25">
      <c r="A1397" s="159"/>
      <c r="B1397" s="217" t="s">
        <v>1627</v>
      </c>
      <c r="C1397" s="595">
        <v>13216089075</v>
      </c>
      <c r="D1397" s="803">
        <v>12750565000</v>
      </c>
      <c r="E1397" s="333">
        <v>96.477595812511581</v>
      </c>
      <c r="F1397" s="110">
        <v>100</v>
      </c>
      <c r="G1397" s="121"/>
      <c r="H1397" s="115"/>
      <c r="I1397" s="115"/>
      <c r="J1397" s="115"/>
      <c r="K1397" s="115"/>
      <c r="L1397" s="115"/>
      <c r="M1397" s="115"/>
      <c r="N1397" s="115"/>
      <c r="O1397" s="115"/>
      <c r="P1397" s="115"/>
      <c r="Q1397" s="115"/>
      <c r="R1397" s="115"/>
      <c r="S1397" s="115"/>
      <c r="T1397" s="115"/>
      <c r="U1397" s="115"/>
      <c r="V1397" s="115"/>
      <c r="W1397" s="115"/>
      <c r="X1397" s="115"/>
      <c r="Y1397" s="115"/>
      <c r="Z1397" s="115"/>
      <c r="AA1397" s="115"/>
      <c r="AB1397" s="115"/>
      <c r="AC1397" s="115"/>
      <c r="AD1397" s="115"/>
    </row>
    <row r="1398" spans="1:30" s="104" customFormat="1" ht="20.100000000000001" customHeight="1" x14ac:dyDescent="0.25">
      <c r="A1398" s="109"/>
      <c r="B1398" s="119" t="s">
        <v>3981</v>
      </c>
      <c r="C1398" s="617">
        <v>10984614075</v>
      </c>
      <c r="D1398" s="851">
        <v>10519090000</v>
      </c>
      <c r="E1398" s="379">
        <v>95.762035226531168</v>
      </c>
      <c r="F1398" s="235">
        <v>100</v>
      </c>
      <c r="G1398" s="111"/>
      <c r="H1398" s="80"/>
      <c r="I1398" s="80"/>
      <c r="J1398" s="80"/>
      <c r="K1398" s="80"/>
      <c r="L1398" s="80"/>
      <c r="M1398" s="80"/>
      <c r="N1398" s="80"/>
      <c r="O1398" s="80"/>
      <c r="P1398" s="80"/>
      <c r="Q1398" s="80"/>
      <c r="R1398" s="80"/>
      <c r="S1398" s="80"/>
      <c r="T1398" s="80"/>
      <c r="U1398" s="80"/>
      <c r="V1398" s="80"/>
      <c r="W1398" s="80"/>
      <c r="X1398" s="80"/>
      <c r="Y1398" s="80"/>
      <c r="Z1398" s="80"/>
      <c r="AA1398" s="80"/>
      <c r="AB1398" s="80"/>
      <c r="AC1398" s="80"/>
      <c r="AD1398" s="80"/>
    </row>
    <row r="1399" spans="1:30" s="104" customFormat="1" ht="20.100000000000001" customHeight="1" x14ac:dyDescent="0.25">
      <c r="A1399" s="109"/>
      <c r="B1399" s="119" t="s">
        <v>3982</v>
      </c>
      <c r="C1399" s="617">
        <v>1343475000</v>
      </c>
      <c r="D1399" s="851">
        <v>1343475000</v>
      </c>
      <c r="E1399" s="379">
        <v>100</v>
      </c>
      <c r="F1399" s="235">
        <v>100</v>
      </c>
      <c r="G1399" s="111"/>
      <c r="H1399" s="80"/>
      <c r="I1399" s="80"/>
      <c r="J1399" s="80"/>
      <c r="K1399" s="80"/>
      <c r="L1399" s="80"/>
      <c r="M1399" s="80"/>
      <c r="N1399" s="80"/>
      <c r="O1399" s="80"/>
      <c r="P1399" s="80"/>
      <c r="Q1399" s="80"/>
      <c r="R1399" s="80"/>
      <c r="S1399" s="80"/>
      <c r="T1399" s="80"/>
      <c r="U1399" s="80"/>
      <c r="V1399" s="80"/>
      <c r="W1399" s="80"/>
      <c r="X1399" s="80"/>
      <c r="Y1399" s="80"/>
      <c r="Z1399" s="80"/>
      <c r="AA1399" s="80"/>
      <c r="AB1399" s="80"/>
      <c r="AC1399" s="80"/>
      <c r="AD1399" s="80"/>
    </row>
    <row r="1400" spans="1:30" s="104" customFormat="1" ht="20.100000000000001" customHeight="1" x14ac:dyDescent="0.25">
      <c r="A1400" s="109"/>
      <c r="B1400" s="119" t="s">
        <v>3983</v>
      </c>
      <c r="C1400" s="617">
        <v>888000000</v>
      </c>
      <c r="D1400" s="851">
        <v>888000000</v>
      </c>
      <c r="E1400" s="379">
        <v>100</v>
      </c>
      <c r="F1400" s="235">
        <v>100</v>
      </c>
      <c r="G1400" s="111"/>
      <c r="H1400" s="80"/>
      <c r="I1400" s="80"/>
      <c r="J1400" s="80"/>
      <c r="K1400" s="80"/>
      <c r="L1400" s="80"/>
      <c r="M1400" s="80"/>
      <c r="N1400" s="80"/>
      <c r="O1400" s="80"/>
      <c r="P1400" s="80"/>
      <c r="Q1400" s="80"/>
      <c r="R1400" s="80"/>
      <c r="S1400" s="80"/>
      <c r="T1400" s="80"/>
      <c r="U1400" s="80"/>
      <c r="V1400" s="80"/>
      <c r="W1400" s="80"/>
      <c r="X1400" s="80"/>
      <c r="Y1400" s="80"/>
      <c r="Z1400" s="80"/>
      <c r="AA1400" s="80"/>
      <c r="AB1400" s="80"/>
      <c r="AC1400" s="80"/>
      <c r="AD1400" s="80"/>
    </row>
    <row r="1401" spans="1:30" s="115" customFormat="1" ht="20.100000000000001" customHeight="1" x14ac:dyDescent="0.25">
      <c r="A1401" s="642"/>
      <c r="B1401" s="643" t="s">
        <v>69</v>
      </c>
      <c r="C1401" s="644">
        <f>C13+C221</f>
        <v>1651166454868.48</v>
      </c>
      <c r="D1401" s="852">
        <f>D13+D221</f>
        <v>1446880369124.3401</v>
      </c>
      <c r="E1401" s="645">
        <f>D1401/C1401*100</f>
        <v>87.627771558597232</v>
      </c>
      <c r="F1401" s="645">
        <f>(F13+F219+F221)/3</f>
        <v>92.73944884269865</v>
      </c>
      <c r="G1401" s="646"/>
    </row>
    <row r="1404" spans="1:30" x14ac:dyDescent="0.25">
      <c r="B1404" s="573"/>
    </row>
  </sheetData>
  <mergeCells count="10">
    <mergeCell ref="H13:N28"/>
    <mergeCell ref="A2:G2"/>
    <mergeCell ref="A3:G3"/>
    <mergeCell ref="A4:G4"/>
    <mergeCell ref="A7:B7"/>
    <mergeCell ref="A9:A10"/>
    <mergeCell ref="B9:B10"/>
    <mergeCell ref="C9:F9"/>
    <mergeCell ref="G9:G10"/>
    <mergeCell ref="E7:F7"/>
  </mergeCells>
  <printOptions horizontalCentered="1"/>
  <pageMargins left="0.59055118110236227" right="0" top="0.74803149606299213" bottom="0.15748031496062992" header="0.31496062992125984" footer="0.31496062992125984"/>
  <pageSetup paperSize="258" orientation="landscape" r:id="rId1"/>
  <rowBreaks count="5" manualBreakCount="5">
    <brk id="158" max="19" man="1"/>
    <brk id="244" max="19" man="1"/>
    <brk id="1177" max="19" man="1"/>
    <brk id="1240" max="19" man="1"/>
    <brk id="1260" max="19" man="1"/>
  </rowBreaks>
  <colBreaks count="1" manualBreakCount="1">
    <brk id="10" max="1419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75"/>
  <sheetViews>
    <sheetView view="pageBreakPreview" topLeftCell="A9" zoomScale="115" zoomScaleNormal="85" zoomScaleSheetLayoutView="115" workbookViewId="0">
      <selection activeCell="E1180" sqref="E1180"/>
    </sheetView>
  </sheetViews>
  <sheetFormatPr defaultColWidth="8.85546875" defaultRowHeight="12.75" x14ac:dyDescent="0.25"/>
  <cols>
    <col min="1" max="1" width="3.5703125" style="147" customWidth="1"/>
    <col min="2" max="2" width="8" style="155" customWidth="1"/>
    <col min="3" max="3" width="78.140625" style="147" customWidth="1"/>
    <col min="4" max="4" width="15.85546875" style="147" customWidth="1"/>
    <col min="5" max="5" width="17.42578125" style="147" customWidth="1"/>
    <col min="6" max="6" width="7" style="147" customWidth="1"/>
    <col min="7" max="7" width="7.42578125" style="173" customWidth="1"/>
    <col min="8" max="8" width="11" style="147" customWidth="1"/>
    <col min="9" max="9" width="17" style="147" customWidth="1"/>
    <col min="10" max="16384" width="8.85546875" style="147"/>
  </cols>
  <sheetData>
    <row r="1" spans="1:9" x14ac:dyDescent="0.25">
      <c r="A1" s="145"/>
      <c r="B1" s="146"/>
      <c r="C1" s="146"/>
      <c r="D1" s="145"/>
      <c r="E1" s="145"/>
      <c r="F1" s="1350"/>
      <c r="G1" s="1350"/>
      <c r="H1" s="1350"/>
      <c r="I1" s="145"/>
    </row>
    <row r="2" spans="1:9" x14ac:dyDescent="0.25">
      <c r="A2" s="145"/>
      <c r="B2" s="1351"/>
      <c r="C2" s="1351"/>
      <c r="D2" s="1351"/>
      <c r="E2" s="1351"/>
      <c r="F2" s="1351"/>
      <c r="G2" s="1351"/>
      <c r="H2" s="1351"/>
      <c r="I2" s="145"/>
    </row>
    <row r="3" spans="1:9" ht="26.25" customHeight="1" x14ac:dyDescent="0.25">
      <c r="A3" s="145"/>
      <c r="B3" s="1352" t="s">
        <v>4026</v>
      </c>
      <c r="C3" s="1352"/>
      <c r="D3" s="1352"/>
      <c r="E3" s="1352"/>
      <c r="F3" s="1352"/>
      <c r="G3" s="1352"/>
      <c r="H3" s="1352"/>
      <c r="I3" s="145"/>
    </row>
    <row r="4" spans="1:9" s="149" customFormat="1" ht="26.25" customHeight="1" x14ac:dyDescent="0.25">
      <c r="A4" s="148"/>
      <c r="B4" s="1352" t="s">
        <v>3992</v>
      </c>
      <c r="C4" s="1352"/>
      <c r="D4" s="1352"/>
      <c r="E4" s="1352"/>
      <c r="F4" s="1352"/>
      <c r="G4" s="1352"/>
      <c r="H4" s="1352"/>
      <c r="I4" s="148"/>
    </row>
    <row r="5" spans="1:9" ht="26.25" customHeight="1" x14ac:dyDescent="0.25">
      <c r="A5" s="145"/>
      <c r="B5" s="1352" t="s">
        <v>3993</v>
      </c>
      <c r="C5" s="1352"/>
      <c r="D5" s="1352"/>
      <c r="E5" s="1352"/>
      <c r="F5" s="1352"/>
      <c r="G5" s="1352"/>
      <c r="H5" s="1352"/>
      <c r="I5" s="145"/>
    </row>
    <row r="6" spans="1:9" ht="15" customHeight="1" x14ac:dyDescent="0.25">
      <c r="A6" s="145"/>
      <c r="B6" s="150"/>
      <c r="C6" s="150"/>
      <c r="D6" s="150"/>
      <c r="E6" s="150"/>
      <c r="F6" s="150"/>
      <c r="G6" s="82"/>
      <c r="H6" s="150"/>
      <c r="I6" s="145"/>
    </row>
    <row r="7" spans="1:9" ht="15" customHeight="1" x14ac:dyDescent="0.25">
      <c r="A7" s="145"/>
      <c r="B7" s="647" t="s">
        <v>3</v>
      </c>
      <c r="C7" s="647"/>
      <c r="D7" s="145"/>
      <c r="E7" s="145"/>
      <c r="F7" s="145"/>
      <c r="G7" s="79"/>
      <c r="H7" s="145"/>
      <c r="I7" s="145"/>
    </row>
    <row r="8" spans="1:9" ht="15" customHeight="1" x14ac:dyDescent="0.25">
      <c r="A8" s="145"/>
      <c r="B8" s="1349" t="str">
        <f>+A.3!C8</f>
        <v>PENERIMAAN  : Rp5.620.854.115.000</v>
      </c>
      <c r="C8" s="1349"/>
      <c r="D8" s="151"/>
      <c r="E8" s="151"/>
      <c r="F8" s="145"/>
      <c r="G8" s="79"/>
      <c r="H8" s="152" t="s">
        <v>4027</v>
      </c>
      <c r="I8" s="145"/>
    </row>
    <row r="9" spans="1:9" ht="12.95" customHeight="1" x14ac:dyDescent="0.25">
      <c r="A9" s="145"/>
      <c r="B9" s="151"/>
      <c r="C9" s="151"/>
      <c r="D9" s="145"/>
      <c r="E9" s="145"/>
      <c r="F9" s="145"/>
      <c r="G9" s="79"/>
      <c r="H9" s="145"/>
      <c r="I9" s="145"/>
    </row>
    <row r="10" spans="1:9" ht="34.5" customHeight="1" x14ac:dyDescent="0.25">
      <c r="A10" s="145"/>
      <c r="B10" s="1346" t="s">
        <v>6</v>
      </c>
      <c r="C10" s="1320" t="s">
        <v>7</v>
      </c>
      <c r="D10" s="1348" t="s">
        <v>10</v>
      </c>
      <c r="E10" s="1348"/>
      <c r="F10" s="1348"/>
      <c r="G10" s="1348"/>
      <c r="H10" s="1320" t="s">
        <v>11</v>
      </c>
    </row>
    <row r="11" spans="1:9" ht="93.75" customHeight="1" thickBot="1" x14ac:dyDescent="0.3">
      <c r="A11" s="145"/>
      <c r="B11" s="1347"/>
      <c r="C11" s="1321"/>
      <c r="D11" s="174" t="s">
        <v>14</v>
      </c>
      <c r="E11" s="174" t="s">
        <v>3995</v>
      </c>
      <c r="F11" s="174" t="s">
        <v>3996</v>
      </c>
      <c r="G11" s="655" t="s">
        <v>3997</v>
      </c>
      <c r="H11" s="1321"/>
    </row>
    <row r="12" spans="1:9" ht="20.100000000000001" customHeight="1" thickTop="1" thickBot="1" x14ac:dyDescent="0.3">
      <c r="A12" s="145"/>
      <c r="B12" s="175" t="s">
        <v>18</v>
      </c>
      <c r="C12" s="175" t="s">
        <v>19</v>
      </c>
      <c r="D12" s="857" t="s">
        <v>20</v>
      </c>
      <c r="E12" s="858" t="s">
        <v>21</v>
      </c>
      <c r="F12" s="859" t="s">
        <v>22</v>
      </c>
      <c r="G12" s="859" t="s">
        <v>23</v>
      </c>
      <c r="H12" s="857" t="s">
        <v>24</v>
      </c>
    </row>
    <row r="13" spans="1:9" ht="24" customHeight="1" thickTop="1" x14ac:dyDescent="0.25">
      <c r="A13" s="145"/>
      <c r="B13" s="176"/>
      <c r="C13" s="176"/>
      <c r="D13" s="177"/>
      <c r="E13" s="178"/>
      <c r="F13" s="178"/>
      <c r="G13" s="588"/>
      <c r="H13" s="178"/>
    </row>
    <row r="14" spans="1:9" s="154" customFormat="1" ht="17.25" customHeight="1" x14ac:dyDescent="0.25">
      <c r="A14" s="153"/>
      <c r="B14" s="648" t="s">
        <v>80</v>
      </c>
      <c r="C14" s="658" t="s">
        <v>81</v>
      </c>
      <c r="D14" s="659">
        <f>+D15+D92+D112+D127</f>
        <v>161500000000</v>
      </c>
      <c r="E14" s="660">
        <f>+E15+E92+E112+E127</f>
        <v>145473371183.46002</v>
      </c>
      <c r="F14" s="661">
        <f>+E14/D14*100</f>
        <v>90.076390825671837</v>
      </c>
      <c r="G14" s="590">
        <f>(G15+G92+G112+G127)/5</f>
        <v>72.988100303584716</v>
      </c>
      <c r="H14" s="662"/>
      <c r="I14" s="324"/>
    </row>
    <row r="15" spans="1:9" s="80" customFormat="1" ht="17.25" customHeight="1" x14ac:dyDescent="0.25">
      <c r="A15" s="76"/>
      <c r="B15" s="109"/>
      <c r="C15" s="48" t="s">
        <v>150</v>
      </c>
      <c r="D15" s="112">
        <f>+D16+D18+D21+D31+D33+D40+D42+D44+D47+D59+D61+D63+D67+D78+D82+D86+D88</f>
        <v>61500000000</v>
      </c>
      <c r="E15" s="220">
        <f>+E16+E18+E21+E31+E33+E40+E44+E42+E47+E59+E61+E63+E67+E78+E82+E86</f>
        <v>49746587743</v>
      </c>
      <c r="F15" s="663">
        <f>+E15/D15*100</f>
        <v>80.888760557723586</v>
      </c>
      <c r="G15" s="110">
        <f t="shared" ref="G15:G78" si="0">+F15</f>
        <v>80.888760557723586</v>
      </c>
      <c r="H15" s="111"/>
    </row>
    <row r="16" spans="1:9" ht="17.25" customHeight="1" x14ac:dyDescent="0.25">
      <c r="A16" s="145"/>
      <c r="B16" s="179"/>
      <c r="C16" s="48" t="s">
        <v>151</v>
      </c>
      <c r="D16" s="112">
        <v>20547000000</v>
      </c>
      <c r="E16" s="220">
        <f>+E17</f>
        <v>14318810000</v>
      </c>
      <c r="F16" s="110">
        <f>E16/D16*100</f>
        <v>69.688080985058647</v>
      </c>
      <c r="G16" s="110">
        <f t="shared" si="0"/>
        <v>69.688080985058647</v>
      </c>
      <c r="H16" s="183"/>
    </row>
    <row r="17" spans="1:8" ht="17.25" customHeight="1" x14ac:dyDescent="0.25">
      <c r="A17" s="145"/>
      <c r="B17" s="179"/>
      <c r="C17" s="32" t="s">
        <v>152</v>
      </c>
      <c r="D17" s="172">
        <v>20547000000</v>
      </c>
      <c r="E17" s="221">
        <v>14318810000</v>
      </c>
      <c r="F17" s="664">
        <f t="shared" ref="F17:F80" si="1">+E17/D17*100</f>
        <v>69.688080985058647</v>
      </c>
      <c r="G17" s="235">
        <f t="shared" si="0"/>
        <v>69.688080985058647</v>
      </c>
      <c r="H17" s="183"/>
    </row>
    <row r="18" spans="1:8" ht="17.25" customHeight="1" x14ac:dyDescent="0.25">
      <c r="A18" s="145"/>
      <c r="B18" s="179"/>
      <c r="C18" s="48" t="s">
        <v>153</v>
      </c>
      <c r="D18" s="112">
        <v>1820500000</v>
      </c>
      <c r="E18" s="220">
        <f>+E19+E20</f>
        <v>1510173306</v>
      </c>
      <c r="F18" s="665">
        <f t="shared" si="1"/>
        <v>82.953765778632246</v>
      </c>
      <c r="G18" s="110">
        <f t="shared" si="0"/>
        <v>82.953765778632246</v>
      </c>
      <c r="H18" s="183"/>
    </row>
    <row r="19" spans="1:8" ht="17.25" customHeight="1" x14ac:dyDescent="0.25">
      <c r="A19" s="145"/>
      <c r="B19" s="179"/>
      <c r="C19" s="32" t="s">
        <v>154</v>
      </c>
      <c r="D19" s="172">
        <v>866000000</v>
      </c>
      <c r="E19" s="221">
        <v>578154400</v>
      </c>
      <c r="F19" s="664">
        <f t="shared" si="1"/>
        <v>66.761478060046187</v>
      </c>
      <c r="G19" s="235">
        <f t="shared" si="0"/>
        <v>66.761478060046187</v>
      </c>
      <c r="H19" s="183"/>
    </row>
    <row r="20" spans="1:8" ht="17.25" customHeight="1" x14ac:dyDescent="0.25">
      <c r="A20" s="145"/>
      <c r="B20" s="179"/>
      <c r="C20" s="32" t="s">
        <v>155</v>
      </c>
      <c r="D20" s="172">
        <v>954500000</v>
      </c>
      <c r="E20" s="221">
        <v>932018906</v>
      </c>
      <c r="F20" s="664">
        <f t="shared" si="1"/>
        <v>97.644725615505507</v>
      </c>
      <c r="G20" s="235">
        <f t="shared" si="0"/>
        <v>97.644725615505507</v>
      </c>
      <c r="H20" s="183"/>
    </row>
    <row r="21" spans="1:8" ht="17.25" customHeight="1" x14ac:dyDescent="0.25">
      <c r="A21" s="145"/>
      <c r="B21" s="179"/>
      <c r="C21" s="48" t="s">
        <v>156</v>
      </c>
      <c r="D21" s="112">
        <v>4057932507</v>
      </c>
      <c r="E21" s="220">
        <f>SUM(E22:E30)</f>
        <v>3584707072</v>
      </c>
      <c r="F21" s="665">
        <f t="shared" si="1"/>
        <v>88.338262546661923</v>
      </c>
      <c r="G21" s="110">
        <f t="shared" si="0"/>
        <v>88.338262546661923</v>
      </c>
      <c r="H21" s="183"/>
    </row>
    <row r="22" spans="1:8" ht="17.25" customHeight="1" x14ac:dyDescent="0.25">
      <c r="A22" s="145"/>
      <c r="B22" s="179"/>
      <c r="C22" s="32" t="s">
        <v>157</v>
      </c>
      <c r="D22" s="172">
        <v>459645000</v>
      </c>
      <c r="E22" s="221">
        <v>394949340</v>
      </c>
      <c r="F22" s="664">
        <f t="shared" si="1"/>
        <v>85.924863753548934</v>
      </c>
      <c r="G22" s="235">
        <f t="shared" si="0"/>
        <v>85.924863753548934</v>
      </c>
      <c r="H22" s="183"/>
    </row>
    <row r="23" spans="1:8" ht="27.75" customHeight="1" x14ac:dyDescent="0.25">
      <c r="A23" s="145"/>
      <c r="B23" s="179"/>
      <c r="C23" s="118" t="s">
        <v>158</v>
      </c>
      <c r="D23" s="172">
        <v>360750000</v>
      </c>
      <c r="E23" s="221">
        <v>258392400</v>
      </c>
      <c r="F23" s="664">
        <f t="shared" si="1"/>
        <v>71.626444906444902</v>
      </c>
      <c r="G23" s="235">
        <f t="shared" si="0"/>
        <v>71.626444906444902</v>
      </c>
      <c r="H23" s="183"/>
    </row>
    <row r="24" spans="1:8" ht="17.25" customHeight="1" x14ac:dyDescent="0.25">
      <c r="A24" s="145"/>
      <c r="B24" s="179"/>
      <c r="C24" s="32" t="s">
        <v>159</v>
      </c>
      <c r="D24" s="172">
        <v>1476262880</v>
      </c>
      <c r="E24" s="221">
        <v>1370512945</v>
      </c>
      <c r="F24" s="664">
        <f t="shared" si="1"/>
        <v>92.836646072141292</v>
      </c>
      <c r="G24" s="235">
        <f t="shared" si="0"/>
        <v>92.836646072141292</v>
      </c>
      <c r="H24" s="183"/>
    </row>
    <row r="25" spans="1:8" ht="17.25" customHeight="1" x14ac:dyDescent="0.25">
      <c r="A25" s="145"/>
      <c r="B25" s="179"/>
      <c r="C25" s="32" t="s">
        <v>160</v>
      </c>
      <c r="D25" s="172">
        <v>410243320</v>
      </c>
      <c r="E25" s="221">
        <v>395177943</v>
      </c>
      <c r="F25" s="664">
        <f t="shared" si="1"/>
        <v>96.327697182247846</v>
      </c>
      <c r="G25" s="235">
        <f t="shared" si="0"/>
        <v>96.327697182247846</v>
      </c>
      <c r="H25" s="183"/>
    </row>
    <row r="26" spans="1:8" ht="17.25" customHeight="1" x14ac:dyDescent="0.25">
      <c r="A26" s="145"/>
      <c r="B26" s="179"/>
      <c r="C26" s="32" t="s">
        <v>161</v>
      </c>
      <c r="D26" s="172">
        <v>424473600</v>
      </c>
      <c r="E26" s="221">
        <v>260892604</v>
      </c>
      <c r="F26" s="664">
        <f t="shared" si="1"/>
        <v>61.462621939267834</v>
      </c>
      <c r="G26" s="235">
        <f t="shared" si="0"/>
        <v>61.462621939267834</v>
      </c>
      <c r="H26" s="183"/>
    </row>
    <row r="27" spans="1:8" ht="17.25" customHeight="1" x14ac:dyDescent="0.25">
      <c r="A27" s="145"/>
      <c r="B27" s="179"/>
      <c r="C27" s="32" t="s">
        <v>162</v>
      </c>
      <c r="D27" s="172">
        <v>417915000</v>
      </c>
      <c r="E27" s="221">
        <v>414190000</v>
      </c>
      <c r="F27" s="664">
        <f t="shared" si="1"/>
        <v>99.108670423411453</v>
      </c>
      <c r="G27" s="235">
        <f t="shared" si="0"/>
        <v>99.108670423411453</v>
      </c>
      <c r="H27" s="183"/>
    </row>
    <row r="28" spans="1:8" ht="17.25" customHeight="1" x14ac:dyDescent="0.25">
      <c r="A28" s="145"/>
      <c r="B28" s="179"/>
      <c r="C28" s="32" t="s">
        <v>163</v>
      </c>
      <c r="D28" s="172">
        <v>107112000</v>
      </c>
      <c r="E28" s="221">
        <v>107082460</v>
      </c>
      <c r="F28" s="664">
        <f t="shared" si="1"/>
        <v>99.972421390693853</v>
      </c>
      <c r="G28" s="235">
        <f t="shared" si="0"/>
        <v>99.972421390693853</v>
      </c>
      <c r="H28" s="183"/>
    </row>
    <row r="29" spans="1:8" ht="17.25" customHeight="1" x14ac:dyDescent="0.25">
      <c r="A29" s="145"/>
      <c r="B29" s="179"/>
      <c r="C29" s="32" t="s">
        <v>164</v>
      </c>
      <c r="D29" s="172">
        <v>158600000</v>
      </c>
      <c r="E29" s="221">
        <v>150744500</v>
      </c>
      <c r="F29" s="664">
        <f t="shared" si="1"/>
        <v>95.046973518285</v>
      </c>
      <c r="G29" s="235">
        <f t="shared" si="0"/>
        <v>95.046973518285</v>
      </c>
      <c r="H29" s="183"/>
    </row>
    <row r="30" spans="1:8" ht="17.25" customHeight="1" x14ac:dyDescent="0.25">
      <c r="A30" s="145"/>
      <c r="B30" s="179"/>
      <c r="C30" s="32" t="s">
        <v>165</v>
      </c>
      <c r="D30" s="172">
        <v>242930707</v>
      </c>
      <c r="E30" s="221">
        <v>232764880</v>
      </c>
      <c r="F30" s="664">
        <f t="shared" si="1"/>
        <v>95.815338815936514</v>
      </c>
      <c r="G30" s="235">
        <f t="shared" si="0"/>
        <v>95.815338815936514</v>
      </c>
      <c r="H30" s="183"/>
    </row>
    <row r="31" spans="1:8" ht="17.25" customHeight="1" x14ac:dyDescent="0.25">
      <c r="A31" s="145"/>
      <c r="B31" s="179"/>
      <c r="C31" s="48" t="s">
        <v>166</v>
      </c>
      <c r="D31" s="112">
        <v>433166000</v>
      </c>
      <c r="E31" s="220">
        <f>+E32</f>
        <v>325331040</v>
      </c>
      <c r="F31" s="665">
        <f t="shared" si="1"/>
        <v>75.105396083718475</v>
      </c>
      <c r="G31" s="110">
        <f t="shared" si="0"/>
        <v>75.105396083718475</v>
      </c>
      <c r="H31" s="183"/>
    </row>
    <row r="32" spans="1:8" ht="17.25" customHeight="1" x14ac:dyDescent="0.25">
      <c r="A32" s="145"/>
      <c r="B32" s="179"/>
      <c r="C32" s="32" t="s">
        <v>167</v>
      </c>
      <c r="D32" s="172">
        <v>433166000</v>
      </c>
      <c r="E32" s="221">
        <v>325331040</v>
      </c>
      <c r="F32" s="664">
        <f t="shared" si="1"/>
        <v>75.105396083718475</v>
      </c>
      <c r="G32" s="235">
        <f t="shared" si="0"/>
        <v>75.105396083718475</v>
      </c>
      <c r="H32" s="183"/>
    </row>
    <row r="33" spans="1:8" ht="17.25" customHeight="1" x14ac:dyDescent="0.25">
      <c r="A33" s="145"/>
      <c r="B33" s="179"/>
      <c r="C33" s="48" t="s">
        <v>168</v>
      </c>
      <c r="D33" s="112">
        <v>479658326</v>
      </c>
      <c r="E33" s="220">
        <f>SUM(E34:E39)</f>
        <v>341920000</v>
      </c>
      <c r="F33" s="665">
        <f t="shared" si="1"/>
        <v>71.284074822877159</v>
      </c>
      <c r="G33" s="110">
        <f t="shared" si="0"/>
        <v>71.284074822877159</v>
      </c>
      <c r="H33" s="183"/>
    </row>
    <row r="34" spans="1:8" ht="17.25" customHeight="1" x14ac:dyDescent="0.25">
      <c r="A34" s="145"/>
      <c r="B34" s="179"/>
      <c r="C34" s="32" t="s">
        <v>169</v>
      </c>
      <c r="D34" s="172">
        <v>125000000</v>
      </c>
      <c r="E34" s="221">
        <v>122391500</v>
      </c>
      <c r="F34" s="664">
        <f t="shared" si="1"/>
        <v>97.913200000000003</v>
      </c>
      <c r="G34" s="235">
        <f t="shared" si="0"/>
        <v>97.913200000000003</v>
      </c>
      <c r="H34" s="183"/>
    </row>
    <row r="35" spans="1:8" ht="17.25" customHeight="1" x14ac:dyDescent="0.25">
      <c r="A35" s="145"/>
      <c r="B35" s="179"/>
      <c r="C35" s="32" t="s">
        <v>170</v>
      </c>
      <c r="D35" s="172">
        <v>102600000</v>
      </c>
      <c r="E35" s="221">
        <v>83096000</v>
      </c>
      <c r="F35" s="664">
        <f t="shared" si="1"/>
        <v>80.990253411306043</v>
      </c>
      <c r="G35" s="235">
        <f t="shared" si="0"/>
        <v>80.990253411306043</v>
      </c>
      <c r="H35" s="183"/>
    </row>
    <row r="36" spans="1:8" ht="17.25" customHeight="1" x14ac:dyDescent="0.25">
      <c r="A36" s="145"/>
      <c r="B36" s="179"/>
      <c r="C36" s="32" t="s">
        <v>171</v>
      </c>
      <c r="D36" s="172">
        <v>69533326</v>
      </c>
      <c r="E36" s="221">
        <v>42032500</v>
      </c>
      <c r="F36" s="664">
        <f t="shared" si="1"/>
        <v>60.449431111637033</v>
      </c>
      <c r="G36" s="235">
        <f t="shared" si="0"/>
        <v>60.449431111637033</v>
      </c>
      <c r="H36" s="183"/>
    </row>
    <row r="37" spans="1:8" ht="17.25" customHeight="1" x14ac:dyDescent="0.25">
      <c r="A37" s="145"/>
      <c r="B37" s="179"/>
      <c r="C37" s="32" t="s">
        <v>172</v>
      </c>
      <c r="D37" s="172">
        <v>59400000</v>
      </c>
      <c r="E37" s="221">
        <v>59400000</v>
      </c>
      <c r="F37" s="664">
        <f t="shared" si="1"/>
        <v>100</v>
      </c>
      <c r="G37" s="235">
        <f t="shared" si="0"/>
        <v>100</v>
      </c>
      <c r="H37" s="183"/>
    </row>
    <row r="38" spans="1:8" ht="17.25" customHeight="1" x14ac:dyDescent="0.25">
      <c r="A38" s="145"/>
      <c r="B38" s="179"/>
      <c r="C38" s="32" t="s">
        <v>173</v>
      </c>
      <c r="D38" s="172">
        <v>84500000</v>
      </c>
      <c r="E38" s="221">
        <v>0</v>
      </c>
      <c r="F38" s="664">
        <f t="shared" si="1"/>
        <v>0</v>
      </c>
      <c r="G38" s="235">
        <f t="shared" si="0"/>
        <v>0</v>
      </c>
      <c r="H38" s="183"/>
    </row>
    <row r="39" spans="1:8" ht="30" customHeight="1" x14ac:dyDescent="0.25">
      <c r="A39" s="145"/>
      <c r="B39" s="179"/>
      <c r="C39" s="32" t="s">
        <v>174</v>
      </c>
      <c r="D39" s="172">
        <v>38625000</v>
      </c>
      <c r="E39" s="221">
        <v>35000000</v>
      </c>
      <c r="F39" s="664">
        <f t="shared" si="1"/>
        <v>90.614886731391593</v>
      </c>
      <c r="G39" s="235">
        <f t="shared" si="0"/>
        <v>90.614886731391593</v>
      </c>
      <c r="H39" s="183"/>
    </row>
    <row r="40" spans="1:8" ht="17.25" customHeight="1" x14ac:dyDescent="0.25">
      <c r="A40" s="145"/>
      <c r="B40" s="179"/>
      <c r="C40" s="48" t="s">
        <v>175</v>
      </c>
      <c r="D40" s="112">
        <v>402397000</v>
      </c>
      <c r="E40" s="220">
        <f>SUM(E41)</f>
        <v>256528300</v>
      </c>
      <c r="F40" s="665">
        <f t="shared" si="1"/>
        <v>63.750052808544801</v>
      </c>
      <c r="G40" s="110">
        <f t="shared" si="0"/>
        <v>63.750052808544801</v>
      </c>
      <c r="H40" s="183"/>
    </row>
    <row r="41" spans="1:8" ht="17.25" customHeight="1" x14ac:dyDescent="0.25">
      <c r="A41" s="145"/>
      <c r="B41" s="179"/>
      <c r="C41" s="32" t="s">
        <v>176</v>
      </c>
      <c r="D41" s="172">
        <v>402397000</v>
      </c>
      <c r="E41" s="221">
        <v>256528300</v>
      </c>
      <c r="F41" s="664">
        <f t="shared" si="1"/>
        <v>63.750052808544801</v>
      </c>
      <c r="G41" s="235">
        <f t="shared" si="0"/>
        <v>63.750052808544801</v>
      </c>
      <c r="H41" s="183"/>
    </row>
    <row r="42" spans="1:8" ht="17.25" customHeight="1" x14ac:dyDescent="0.25">
      <c r="A42" s="145"/>
      <c r="B42" s="179"/>
      <c r="C42" s="48" t="s">
        <v>177</v>
      </c>
      <c r="D42" s="112">
        <v>266030500</v>
      </c>
      <c r="E42" s="220">
        <v>0</v>
      </c>
      <c r="F42" s="665">
        <f t="shared" si="1"/>
        <v>0</v>
      </c>
      <c r="G42" s="110">
        <f t="shared" si="0"/>
        <v>0</v>
      </c>
      <c r="H42" s="183"/>
    </row>
    <row r="43" spans="1:8" ht="17.25" customHeight="1" x14ac:dyDescent="0.25">
      <c r="A43" s="145"/>
      <c r="B43" s="179"/>
      <c r="C43" s="32" t="s">
        <v>178</v>
      </c>
      <c r="D43" s="172">
        <v>266030500</v>
      </c>
      <c r="E43" s="221">
        <v>0</v>
      </c>
      <c r="F43" s="664">
        <f t="shared" si="1"/>
        <v>0</v>
      </c>
      <c r="G43" s="235">
        <f t="shared" si="0"/>
        <v>0</v>
      </c>
      <c r="H43" s="183"/>
    </row>
    <row r="44" spans="1:8" ht="17.25" customHeight="1" x14ac:dyDescent="0.25">
      <c r="A44" s="145"/>
      <c r="B44" s="179"/>
      <c r="C44" s="48" t="s">
        <v>179</v>
      </c>
      <c r="D44" s="112">
        <v>481025000</v>
      </c>
      <c r="E44" s="220">
        <f>+E45+E46</f>
        <v>210390980</v>
      </c>
      <c r="F44" s="665">
        <f t="shared" si="1"/>
        <v>43.738055194636452</v>
      </c>
      <c r="G44" s="110">
        <f t="shared" si="0"/>
        <v>43.738055194636452</v>
      </c>
      <c r="H44" s="183"/>
    </row>
    <row r="45" spans="1:8" ht="17.25" customHeight="1" x14ac:dyDescent="0.25">
      <c r="A45" s="145"/>
      <c r="B45" s="179"/>
      <c r="C45" s="32" t="s">
        <v>180</v>
      </c>
      <c r="D45" s="172">
        <v>377325000</v>
      </c>
      <c r="E45" s="221">
        <v>210390980</v>
      </c>
      <c r="F45" s="664">
        <f t="shared" si="1"/>
        <v>55.758558272046642</v>
      </c>
      <c r="G45" s="235">
        <f t="shared" si="0"/>
        <v>55.758558272046642</v>
      </c>
      <c r="H45" s="183"/>
    </row>
    <row r="46" spans="1:8" ht="17.25" customHeight="1" x14ac:dyDescent="0.25">
      <c r="A46" s="145"/>
      <c r="B46" s="179"/>
      <c r="C46" s="32" t="s">
        <v>181</v>
      </c>
      <c r="D46" s="172">
        <v>103700000</v>
      </c>
      <c r="E46" s="221">
        <v>0</v>
      </c>
      <c r="F46" s="664">
        <f t="shared" si="1"/>
        <v>0</v>
      </c>
      <c r="G46" s="235">
        <f t="shared" si="0"/>
        <v>0</v>
      </c>
      <c r="H46" s="183"/>
    </row>
    <row r="47" spans="1:8" ht="17.25" customHeight="1" x14ac:dyDescent="0.25">
      <c r="A47" s="145"/>
      <c r="B47" s="179"/>
      <c r="C47" s="48" t="s">
        <v>182</v>
      </c>
      <c r="D47" s="112">
        <v>2272658000</v>
      </c>
      <c r="E47" s="220">
        <f>SUM(E48:E58)</f>
        <v>2000340085</v>
      </c>
      <c r="F47" s="665">
        <f t="shared" si="1"/>
        <v>88.01764651786587</v>
      </c>
      <c r="G47" s="110">
        <f t="shared" si="0"/>
        <v>88.01764651786587</v>
      </c>
      <c r="H47" s="183"/>
    </row>
    <row r="48" spans="1:8" ht="17.25" customHeight="1" x14ac:dyDescent="0.25">
      <c r="A48" s="145"/>
      <c r="B48" s="179"/>
      <c r="C48" s="32" t="s">
        <v>183</v>
      </c>
      <c r="D48" s="172">
        <v>400000000</v>
      </c>
      <c r="E48" s="221">
        <v>298329559</v>
      </c>
      <c r="F48" s="664">
        <f t="shared" si="1"/>
        <v>74.582389750000004</v>
      </c>
      <c r="G48" s="235">
        <f t="shared" si="0"/>
        <v>74.582389750000004</v>
      </c>
      <c r="H48" s="183"/>
    </row>
    <row r="49" spans="1:8" ht="17.25" customHeight="1" x14ac:dyDescent="0.25">
      <c r="A49" s="145"/>
      <c r="B49" s="179"/>
      <c r="C49" s="32" t="s">
        <v>184</v>
      </c>
      <c r="D49" s="172">
        <v>115800000</v>
      </c>
      <c r="E49" s="221">
        <v>115649200</v>
      </c>
      <c r="F49" s="664">
        <f t="shared" si="1"/>
        <v>99.869775474956825</v>
      </c>
      <c r="G49" s="235">
        <f t="shared" si="0"/>
        <v>99.869775474956825</v>
      </c>
      <c r="H49" s="183"/>
    </row>
    <row r="50" spans="1:8" ht="17.25" customHeight="1" x14ac:dyDescent="0.25">
      <c r="A50" s="145"/>
      <c r="B50" s="179"/>
      <c r="C50" s="32" t="s">
        <v>185</v>
      </c>
      <c r="D50" s="172">
        <v>330000000</v>
      </c>
      <c r="E50" s="221">
        <v>302700669</v>
      </c>
      <c r="F50" s="664">
        <f t="shared" si="1"/>
        <v>91.727475454545456</v>
      </c>
      <c r="G50" s="235">
        <f t="shared" si="0"/>
        <v>91.727475454545456</v>
      </c>
      <c r="H50" s="183"/>
    </row>
    <row r="51" spans="1:8" ht="17.25" customHeight="1" x14ac:dyDescent="0.25">
      <c r="A51" s="145"/>
      <c r="B51" s="179"/>
      <c r="C51" s="32" t="s">
        <v>186</v>
      </c>
      <c r="D51" s="172">
        <v>115435000</v>
      </c>
      <c r="E51" s="221">
        <v>114633000</v>
      </c>
      <c r="F51" s="664">
        <f t="shared" si="1"/>
        <v>99.305236713301852</v>
      </c>
      <c r="G51" s="235">
        <f t="shared" si="0"/>
        <v>99.305236713301852</v>
      </c>
      <c r="H51" s="183"/>
    </row>
    <row r="52" spans="1:8" ht="17.25" customHeight="1" x14ac:dyDescent="0.25">
      <c r="A52" s="145"/>
      <c r="B52" s="179"/>
      <c r="C52" s="32" t="s">
        <v>187</v>
      </c>
      <c r="D52" s="172">
        <v>155000000</v>
      </c>
      <c r="E52" s="221">
        <v>152202047</v>
      </c>
      <c r="F52" s="664">
        <f t="shared" si="1"/>
        <v>98.194869032258069</v>
      </c>
      <c r="G52" s="235">
        <f t="shared" si="0"/>
        <v>98.194869032258069</v>
      </c>
      <c r="H52" s="183"/>
    </row>
    <row r="53" spans="1:8" ht="17.25" customHeight="1" x14ac:dyDescent="0.25">
      <c r="A53" s="145"/>
      <c r="B53" s="179"/>
      <c r="C53" s="32" t="s">
        <v>188</v>
      </c>
      <c r="D53" s="172">
        <v>116500000</v>
      </c>
      <c r="E53" s="221">
        <v>98906384</v>
      </c>
      <c r="F53" s="664">
        <f t="shared" si="1"/>
        <v>84.898183690987125</v>
      </c>
      <c r="G53" s="235">
        <f t="shared" si="0"/>
        <v>84.898183690987125</v>
      </c>
      <c r="H53" s="183"/>
    </row>
    <row r="54" spans="1:8" ht="17.25" customHeight="1" x14ac:dyDescent="0.25">
      <c r="A54" s="145"/>
      <c r="B54" s="179"/>
      <c r="C54" s="32" t="s">
        <v>189</v>
      </c>
      <c r="D54" s="172">
        <v>103129000</v>
      </c>
      <c r="E54" s="221">
        <v>102939027</v>
      </c>
      <c r="F54" s="664">
        <f t="shared" si="1"/>
        <v>99.815790902655905</v>
      </c>
      <c r="G54" s="235">
        <f t="shared" si="0"/>
        <v>99.815790902655905</v>
      </c>
      <c r="H54" s="183"/>
    </row>
    <row r="55" spans="1:8" ht="17.25" customHeight="1" x14ac:dyDescent="0.25">
      <c r="A55" s="145"/>
      <c r="B55" s="179"/>
      <c r="C55" s="32" t="s">
        <v>190</v>
      </c>
      <c r="D55" s="172">
        <v>400000000</v>
      </c>
      <c r="E55" s="221">
        <v>321709800</v>
      </c>
      <c r="F55" s="664">
        <f t="shared" si="1"/>
        <v>80.427449999999993</v>
      </c>
      <c r="G55" s="235">
        <f t="shared" si="0"/>
        <v>80.427449999999993</v>
      </c>
      <c r="H55" s="183"/>
    </row>
    <row r="56" spans="1:8" ht="17.25" customHeight="1" x14ac:dyDescent="0.25">
      <c r="A56" s="145"/>
      <c r="B56" s="179"/>
      <c r="C56" s="32" t="s">
        <v>191</v>
      </c>
      <c r="D56" s="172">
        <v>333569000</v>
      </c>
      <c r="E56" s="221">
        <v>290810760</v>
      </c>
      <c r="F56" s="664">
        <f t="shared" si="1"/>
        <v>87.181590615434885</v>
      </c>
      <c r="G56" s="235">
        <f t="shared" si="0"/>
        <v>87.181590615434885</v>
      </c>
      <c r="H56" s="183"/>
    </row>
    <row r="57" spans="1:8" ht="17.25" customHeight="1" x14ac:dyDescent="0.25">
      <c r="A57" s="145"/>
      <c r="B57" s="179"/>
      <c r="C57" s="32" t="s">
        <v>192</v>
      </c>
      <c r="D57" s="172">
        <v>103225000</v>
      </c>
      <c r="E57" s="221">
        <v>102531300</v>
      </c>
      <c r="F57" s="664">
        <f t="shared" si="1"/>
        <v>99.327972874788088</v>
      </c>
      <c r="G57" s="235">
        <f t="shared" si="0"/>
        <v>99.327972874788088</v>
      </c>
      <c r="H57" s="183"/>
    </row>
    <row r="58" spans="1:8" ht="17.25" customHeight="1" x14ac:dyDescent="0.25">
      <c r="A58" s="145"/>
      <c r="B58" s="179"/>
      <c r="C58" s="32" t="s">
        <v>193</v>
      </c>
      <c r="D58" s="172">
        <v>100000000</v>
      </c>
      <c r="E58" s="221">
        <v>99928339</v>
      </c>
      <c r="F58" s="664">
        <f t="shared" si="1"/>
        <v>99.928338999999994</v>
      </c>
      <c r="G58" s="235">
        <f t="shared" si="0"/>
        <v>99.928338999999994</v>
      </c>
      <c r="H58" s="183"/>
    </row>
    <row r="59" spans="1:8" ht="17.25" customHeight="1" x14ac:dyDescent="0.25">
      <c r="A59" s="145"/>
      <c r="B59" s="179"/>
      <c r="C59" s="48" t="s">
        <v>194</v>
      </c>
      <c r="D59" s="112">
        <v>5270000000</v>
      </c>
      <c r="E59" s="220">
        <f>SUM(E60:E62)</f>
        <v>4918919645</v>
      </c>
      <c r="F59" s="665">
        <f t="shared" si="1"/>
        <v>93.338133681214416</v>
      </c>
      <c r="G59" s="110">
        <f t="shared" si="0"/>
        <v>93.338133681214416</v>
      </c>
      <c r="H59" s="183"/>
    </row>
    <row r="60" spans="1:8" ht="17.25" customHeight="1" x14ac:dyDescent="0.25">
      <c r="A60" s="145"/>
      <c r="B60" s="179"/>
      <c r="C60" s="32" t="s">
        <v>195</v>
      </c>
      <c r="D60" s="172">
        <v>5270000000</v>
      </c>
      <c r="E60" s="221">
        <v>4918919645</v>
      </c>
      <c r="F60" s="664">
        <f t="shared" si="1"/>
        <v>93.338133681214416</v>
      </c>
      <c r="G60" s="235">
        <f t="shared" si="0"/>
        <v>93.338133681214416</v>
      </c>
      <c r="H60" s="183"/>
    </row>
    <row r="61" spans="1:8" ht="17.25" customHeight="1" x14ac:dyDescent="0.25">
      <c r="A61" s="145"/>
      <c r="B61" s="179"/>
      <c r="C61" s="48" t="s">
        <v>196</v>
      </c>
      <c r="D61" s="112">
        <v>254169500</v>
      </c>
      <c r="E61" s="221">
        <v>0</v>
      </c>
      <c r="F61" s="665">
        <f t="shared" si="1"/>
        <v>0</v>
      </c>
      <c r="G61" s="110">
        <f t="shared" si="0"/>
        <v>0</v>
      </c>
      <c r="H61" s="183"/>
    </row>
    <row r="62" spans="1:8" ht="33.75" customHeight="1" x14ac:dyDescent="0.25">
      <c r="A62" s="145"/>
      <c r="B62" s="179"/>
      <c r="C62" s="32" t="s">
        <v>197</v>
      </c>
      <c r="D62" s="172">
        <v>254169500</v>
      </c>
      <c r="E62" s="221">
        <v>0</v>
      </c>
      <c r="F62" s="664">
        <f t="shared" si="1"/>
        <v>0</v>
      </c>
      <c r="G62" s="235">
        <f t="shared" si="0"/>
        <v>0</v>
      </c>
      <c r="H62" s="183"/>
    </row>
    <row r="63" spans="1:8" ht="17.25" customHeight="1" x14ac:dyDescent="0.25">
      <c r="A63" s="145"/>
      <c r="B63" s="179"/>
      <c r="C63" s="48" t="s">
        <v>198</v>
      </c>
      <c r="D63" s="112">
        <v>1587724753</v>
      </c>
      <c r="E63" s="220">
        <f>SUM(E64:E66)</f>
        <v>1553001983</v>
      </c>
      <c r="F63" s="665">
        <f t="shared" si="1"/>
        <v>97.813048518996041</v>
      </c>
      <c r="G63" s="110">
        <f t="shared" si="0"/>
        <v>97.813048518996041</v>
      </c>
      <c r="H63" s="183"/>
    </row>
    <row r="64" spans="1:8" ht="17.25" customHeight="1" x14ac:dyDescent="0.25">
      <c r="A64" s="145"/>
      <c r="B64" s="179"/>
      <c r="C64" s="32" t="s">
        <v>199</v>
      </c>
      <c r="D64" s="172">
        <v>389900000</v>
      </c>
      <c r="E64" s="221">
        <v>386937183</v>
      </c>
      <c r="F64" s="664">
        <f t="shared" si="1"/>
        <v>99.240108489356246</v>
      </c>
      <c r="G64" s="235">
        <f t="shared" si="0"/>
        <v>99.240108489356246</v>
      </c>
      <c r="H64" s="183"/>
    </row>
    <row r="65" spans="1:8" ht="17.25" customHeight="1" x14ac:dyDescent="0.25">
      <c r="A65" s="145"/>
      <c r="B65" s="179"/>
      <c r="C65" s="32" t="s">
        <v>200</v>
      </c>
      <c r="D65" s="172">
        <v>1124297403</v>
      </c>
      <c r="E65" s="221">
        <v>1093637500</v>
      </c>
      <c r="F65" s="664">
        <f t="shared" si="1"/>
        <v>97.272972176384187</v>
      </c>
      <c r="G65" s="235">
        <f t="shared" si="0"/>
        <v>97.272972176384187</v>
      </c>
      <c r="H65" s="183"/>
    </row>
    <row r="66" spans="1:8" ht="17.25" customHeight="1" x14ac:dyDescent="0.25">
      <c r="A66" s="145"/>
      <c r="B66" s="179"/>
      <c r="C66" s="32" t="s">
        <v>201</v>
      </c>
      <c r="D66" s="172">
        <v>73527350</v>
      </c>
      <c r="E66" s="221">
        <v>72427300</v>
      </c>
      <c r="F66" s="664">
        <f t="shared" si="1"/>
        <v>98.503890049076986</v>
      </c>
      <c r="G66" s="235">
        <f t="shared" si="0"/>
        <v>98.503890049076986</v>
      </c>
      <c r="H66" s="183"/>
    </row>
    <row r="67" spans="1:8" ht="17.25" customHeight="1" x14ac:dyDescent="0.25">
      <c r="A67" s="145"/>
      <c r="B67" s="179"/>
      <c r="C67" s="48" t="s">
        <v>202</v>
      </c>
      <c r="D67" s="112">
        <v>17109928250</v>
      </c>
      <c r="E67" s="220">
        <f>SUM(E68:E77)</f>
        <v>15492357192</v>
      </c>
      <c r="F67" s="665">
        <f t="shared" si="1"/>
        <v>90.546009110236909</v>
      </c>
      <c r="G67" s="110">
        <f t="shared" si="0"/>
        <v>90.546009110236909</v>
      </c>
      <c r="H67" s="183"/>
    </row>
    <row r="68" spans="1:8" ht="17.25" customHeight="1" x14ac:dyDescent="0.25">
      <c r="A68" s="145"/>
      <c r="B68" s="179"/>
      <c r="C68" s="32" t="s">
        <v>203</v>
      </c>
      <c r="D68" s="172">
        <v>174525000</v>
      </c>
      <c r="E68" s="221">
        <v>11369700</v>
      </c>
      <c r="F68" s="664">
        <f t="shared" si="1"/>
        <v>6.5146540610227763</v>
      </c>
      <c r="G68" s="235">
        <f t="shared" si="0"/>
        <v>6.5146540610227763</v>
      </c>
      <c r="H68" s="183"/>
    </row>
    <row r="69" spans="1:8" ht="17.25" customHeight="1" x14ac:dyDescent="0.25">
      <c r="A69" s="145"/>
      <c r="B69" s="179"/>
      <c r="C69" s="32" t="s">
        <v>204</v>
      </c>
      <c r="D69" s="172">
        <v>242000000</v>
      </c>
      <c r="E69" s="221">
        <v>135017563</v>
      </c>
      <c r="F69" s="664">
        <f t="shared" si="1"/>
        <v>55.792381404958682</v>
      </c>
      <c r="G69" s="235">
        <f t="shared" si="0"/>
        <v>55.792381404958682</v>
      </c>
      <c r="H69" s="183"/>
    </row>
    <row r="70" spans="1:8" ht="17.25" customHeight="1" x14ac:dyDescent="0.25">
      <c r="A70" s="145"/>
      <c r="B70" s="179"/>
      <c r="C70" s="32" t="s">
        <v>205</v>
      </c>
      <c r="D70" s="172">
        <v>162500000</v>
      </c>
      <c r="E70" s="221">
        <v>99871300</v>
      </c>
      <c r="F70" s="664">
        <f t="shared" si="1"/>
        <v>61.45926153846154</v>
      </c>
      <c r="G70" s="235">
        <f t="shared" si="0"/>
        <v>61.45926153846154</v>
      </c>
      <c r="H70" s="183"/>
    </row>
    <row r="71" spans="1:8" ht="29.25" customHeight="1" x14ac:dyDescent="0.25">
      <c r="A71" s="145"/>
      <c r="B71" s="179"/>
      <c r="C71" s="119" t="s">
        <v>206</v>
      </c>
      <c r="D71" s="172">
        <v>95003250</v>
      </c>
      <c r="E71" s="221">
        <v>94982500</v>
      </c>
      <c r="F71" s="664">
        <f t="shared" si="1"/>
        <v>99.978158641941192</v>
      </c>
      <c r="G71" s="235">
        <f t="shared" si="0"/>
        <v>99.978158641941192</v>
      </c>
      <c r="H71" s="183"/>
    </row>
    <row r="72" spans="1:8" ht="33.75" customHeight="1" x14ac:dyDescent="0.25">
      <c r="A72" s="145"/>
      <c r="B72" s="179"/>
      <c r="C72" s="119" t="s">
        <v>207</v>
      </c>
      <c r="D72" s="172">
        <v>8697650000</v>
      </c>
      <c r="E72" s="221">
        <v>8001970499</v>
      </c>
      <c r="F72" s="664">
        <f t="shared" si="1"/>
        <v>92.001523388501496</v>
      </c>
      <c r="G72" s="235">
        <f t="shared" si="0"/>
        <v>92.001523388501496</v>
      </c>
      <c r="H72" s="183"/>
    </row>
    <row r="73" spans="1:8" ht="17.25" customHeight="1" x14ac:dyDescent="0.25">
      <c r="A73" s="145"/>
      <c r="B73" s="179"/>
      <c r="C73" s="32" t="s">
        <v>208</v>
      </c>
      <c r="D73" s="172">
        <v>4271000000</v>
      </c>
      <c r="E73" s="221">
        <v>4205000000</v>
      </c>
      <c r="F73" s="664">
        <f t="shared" si="1"/>
        <v>98.454694450948253</v>
      </c>
      <c r="G73" s="235">
        <f t="shared" si="0"/>
        <v>98.454694450948253</v>
      </c>
      <c r="H73" s="183"/>
    </row>
    <row r="74" spans="1:8" ht="17.25" customHeight="1" x14ac:dyDescent="0.25">
      <c r="A74" s="145"/>
      <c r="B74" s="179"/>
      <c r="C74" s="32" t="s">
        <v>209</v>
      </c>
      <c r="D74" s="172">
        <v>2393300000</v>
      </c>
      <c r="E74" s="221">
        <v>2038432330</v>
      </c>
      <c r="F74" s="664">
        <f t="shared" si="1"/>
        <v>85.172453516065687</v>
      </c>
      <c r="G74" s="235">
        <f t="shared" si="0"/>
        <v>85.172453516065687</v>
      </c>
      <c r="H74" s="183"/>
    </row>
    <row r="75" spans="1:8" ht="17.25" customHeight="1" x14ac:dyDescent="0.25">
      <c r="A75" s="145"/>
      <c r="B75" s="179"/>
      <c r="C75" s="32" t="s">
        <v>210</v>
      </c>
      <c r="D75" s="172">
        <v>378375000</v>
      </c>
      <c r="E75" s="221">
        <v>309021000</v>
      </c>
      <c r="F75" s="664">
        <f t="shared" si="1"/>
        <v>81.670564915758177</v>
      </c>
      <c r="G75" s="235">
        <f t="shared" si="0"/>
        <v>81.670564915758177</v>
      </c>
      <c r="H75" s="183"/>
    </row>
    <row r="76" spans="1:8" ht="17.25" customHeight="1" x14ac:dyDescent="0.25">
      <c r="A76" s="145"/>
      <c r="B76" s="179"/>
      <c r="C76" s="32" t="s">
        <v>211</v>
      </c>
      <c r="D76" s="172">
        <v>203800000</v>
      </c>
      <c r="E76" s="221">
        <v>118495600</v>
      </c>
      <c r="F76" s="664">
        <f t="shared" si="1"/>
        <v>58.143081452404324</v>
      </c>
      <c r="G76" s="235">
        <f t="shared" si="0"/>
        <v>58.143081452404324</v>
      </c>
      <c r="H76" s="183"/>
    </row>
    <row r="77" spans="1:8" ht="17.25" customHeight="1" x14ac:dyDescent="0.25">
      <c r="A77" s="145"/>
      <c r="B77" s="179"/>
      <c r="C77" s="32" t="s">
        <v>212</v>
      </c>
      <c r="D77" s="172">
        <v>491775000</v>
      </c>
      <c r="E77" s="221">
        <v>478196700</v>
      </c>
      <c r="F77" s="664">
        <f t="shared" si="1"/>
        <v>97.238920237913689</v>
      </c>
      <c r="G77" s="235">
        <f t="shared" si="0"/>
        <v>97.238920237913689</v>
      </c>
      <c r="H77" s="183"/>
    </row>
    <row r="78" spans="1:8" ht="17.25" customHeight="1" x14ac:dyDescent="0.25">
      <c r="A78" s="145"/>
      <c r="B78" s="179"/>
      <c r="C78" s="48" t="s">
        <v>213</v>
      </c>
      <c r="D78" s="112">
        <v>4469689000</v>
      </c>
      <c r="E78" s="220">
        <f>SUM(E79:E81)</f>
        <v>4228576411</v>
      </c>
      <c r="F78" s="665">
        <f t="shared" si="1"/>
        <v>94.6056070344044</v>
      </c>
      <c r="G78" s="110">
        <f t="shared" si="0"/>
        <v>94.6056070344044</v>
      </c>
      <c r="H78" s="183"/>
    </row>
    <row r="79" spans="1:8" ht="17.25" customHeight="1" x14ac:dyDescent="0.25">
      <c r="A79" s="145"/>
      <c r="B79" s="179"/>
      <c r="C79" s="32" t="s">
        <v>214</v>
      </c>
      <c r="D79" s="172">
        <v>3198169000</v>
      </c>
      <c r="E79" s="221">
        <v>3187866000</v>
      </c>
      <c r="F79" s="664">
        <f t="shared" si="1"/>
        <v>99.67784691803341</v>
      </c>
      <c r="G79" s="235">
        <f t="shared" ref="G79:G142" si="2">+F79</f>
        <v>99.67784691803341</v>
      </c>
      <c r="H79" s="183"/>
    </row>
    <row r="80" spans="1:8" ht="17.25" customHeight="1" x14ac:dyDescent="0.25">
      <c r="A80" s="145"/>
      <c r="B80" s="179"/>
      <c r="C80" s="32" t="s">
        <v>215</v>
      </c>
      <c r="D80" s="172">
        <v>416750000</v>
      </c>
      <c r="E80" s="221">
        <v>367680500</v>
      </c>
      <c r="F80" s="664">
        <f t="shared" si="1"/>
        <v>88.225674865026988</v>
      </c>
      <c r="G80" s="235">
        <f t="shared" si="2"/>
        <v>88.225674865026988</v>
      </c>
      <c r="H80" s="183"/>
    </row>
    <row r="81" spans="1:8" ht="17.25" customHeight="1" x14ac:dyDescent="0.25">
      <c r="A81" s="145"/>
      <c r="B81" s="179"/>
      <c r="C81" s="32" t="s">
        <v>216</v>
      </c>
      <c r="D81" s="172">
        <v>854770000</v>
      </c>
      <c r="E81" s="221">
        <v>673029911</v>
      </c>
      <c r="F81" s="664">
        <f t="shared" ref="F81:F90" si="3">+E81/D81*100</f>
        <v>78.738129672309512</v>
      </c>
      <c r="G81" s="235">
        <f t="shared" si="2"/>
        <v>78.738129672309512</v>
      </c>
      <c r="H81" s="183"/>
    </row>
    <row r="82" spans="1:8" ht="17.25" customHeight="1" x14ac:dyDescent="0.25">
      <c r="A82" s="145"/>
      <c r="B82" s="179"/>
      <c r="C82" s="48" t="s">
        <v>217</v>
      </c>
      <c r="D82" s="112">
        <v>849980164</v>
      </c>
      <c r="E82" s="220">
        <f>SUM(E83:E85)</f>
        <v>808009429</v>
      </c>
      <c r="F82" s="665">
        <f t="shared" si="3"/>
        <v>95.062151238625844</v>
      </c>
      <c r="G82" s="110">
        <f t="shared" si="2"/>
        <v>95.062151238625844</v>
      </c>
      <c r="H82" s="183"/>
    </row>
    <row r="83" spans="1:8" ht="17.25" customHeight="1" x14ac:dyDescent="0.25">
      <c r="A83" s="145"/>
      <c r="B83" s="179"/>
      <c r="C83" s="32" t="s">
        <v>218</v>
      </c>
      <c r="D83" s="172">
        <v>610154739</v>
      </c>
      <c r="E83" s="221">
        <v>597349179</v>
      </c>
      <c r="F83" s="664">
        <f t="shared" si="3"/>
        <v>97.90126025719519</v>
      </c>
      <c r="G83" s="235">
        <f t="shared" si="2"/>
        <v>97.90126025719519</v>
      </c>
      <c r="H83" s="183"/>
    </row>
    <row r="84" spans="1:8" ht="17.25" customHeight="1" x14ac:dyDescent="0.25">
      <c r="A84" s="145"/>
      <c r="B84" s="179"/>
      <c r="C84" s="32" t="s">
        <v>219</v>
      </c>
      <c r="D84" s="172">
        <v>116903810</v>
      </c>
      <c r="E84" s="221">
        <v>91713250</v>
      </c>
      <c r="F84" s="664">
        <f t="shared" si="3"/>
        <v>78.451891345542961</v>
      </c>
      <c r="G84" s="235">
        <f t="shared" si="2"/>
        <v>78.451891345542961</v>
      </c>
      <c r="H84" s="183"/>
    </row>
    <row r="85" spans="1:8" ht="17.25" customHeight="1" x14ac:dyDescent="0.25">
      <c r="A85" s="145"/>
      <c r="B85" s="179"/>
      <c r="C85" s="32" t="s">
        <v>220</v>
      </c>
      <c r="D85" s="172">
        <v>122921615</v>
      </c>
      <c r="E85" s="221">
        <v>118947000</v>
      </c>
      <c r="F85" s="664">
        <f t="shared" si="3"/>
        <v>96.766545086476455</v>
      </c>
      <c r="G85" s="235">
        <f t="shared" si="2"/>
        <v>96.766545086476455</v>
      </c>
      <c r="H85" s="183"/>
    </row>
    <row r="86" spans="1:8" ht="17.25" customHeight="1" x14ac:dyDescent="0.25">
      <c r="A86" s="145"/>
      <c r="B86" s="179"/>
      <c r="C86" s="48" t="s">
        <v>221</v>
      </c>
      <c r="D86" s="112">
        <v>231842000</v>
      </c>
      <c r="E86" s="220">
        <f>+E87</f>
        <v>197522300</v>
      </c>
      <c r="F86" s="665">
        <f t="shared" si="3"/>
        <v>85.196944470803388</v>
      </c>
      <c r="G86" s="110">
        <f t="shared" si="2"/>
        <v>85.196944470803388</v>
      </c>
      <c r="H86" s="183"/>
    </row>
    <row r="87" spans="1:8" ht="34.5" customHeight="1" x14ac:dyDescent="0.25">
      <c r="A87" s="145"/>
      <c r="B87" s="179"/>
      <c r="C87" s="119" t="s">
        <v>222</v>
      </c>
      <c r="D87" s="172">
        <v>231842000</v>
      </c>
      <c r="E87" s="221">
        <v>197522300</v>
      </c>
      <c r="F87" s="664">
        <f t="shared" si="3"/>
        <v>85.196944470803388</v>
      </c>
      <c r="G87" s="235">
        <f t="shared" si="2"/>
        <v>85.196944470803388</v>
      </c>
      <c r="H87" s="183"/>
    </row>
    <row r="88" spans="1:8" ht="17.25" customHeight="1" x14ac:dyDescent="0.25">
      <c r="A88" s="145"/>
      <c r="B88" s="179"/>
      <c r="C88" s="48" t="s">
        <v>223</v>
      </c>
      <c r="D88" s="112">
        <f>+D89+D90</f>
        <v>966299000</v>
      </c>
      <c r="E88" s="220">
        <f>+E89+E90</f>
        <v>365786900</v>
      </c>
      <c r="F88" s="665">
        <f t="shared" si="3"/>
        <v>37.85442187149112</v>
      </c>
      <c r="G88" s="110">
        <f t="shared" si="2"/>
        <v>37.85442187149112</v>
      </c>
      <c r="H88" s="183"/>
    </row>
    <row r="89" spans="1:8" ht="17.25" customHeight="1" x14ac:dyDescent="0.25">
      <c r="A89" s="145"/>
      <c r="B89" s="179"/>
      <c r="C89" s="32" t="s">
        <v>224</v>
      </c>
      <c r="D89" s="172">
        <v>433649000</v>
      </c>
      <c r="E89" s="221">
        <v>365786900</v>
      </c>
      <c r="F89" s="664">
        <f t="shared" si="3"/>
        <v>84.350915141047253</v>
      </c>
      <c r="G89" s="235">
        <f t="shared" si="2"/>
        <v>84.350915141047253</v>
      </c>
      <c r="H89" s="183"/>
    </row>
    <row r="90" spans="1:8" ht="33.75" customHeight="1" x14ac:dyDescent="0.25">
      <c r="A90" s="145"/>
      <c r="B90" s="179"/>
      <c r="C90" s="119" t="s">
        <v>225</v>
      </c>
      <c r="D90" s="172">
        <v>532650000</v>
      </c>
      <c r="E90" s="108">
        <v>0</v>
      </c>
      <c r="F90" s="664">
        <f t="shared" si="3"/>
        <v>0</v>
      </c>
      <c r="G90" s="235">
        <f t="shared" si="2"/>
        <v>0</v>
      </c>
      <c r="H90" s="183"/>
    </row>
    <row r="91" spans="1:8" ht="17.25" customHeight="1" x14ac:dyDescent="0.25">
      <c r="A91" s="145"/>
      <c r="B91" s="179"/>
      <c r="C91" s="32"/>
      <c r="D91" s="172"/>
      <c r="E91" s="108"/>
      <c r="F91" s="109"/>
      <c r="G91" s="110"/>
      <c r="H91" s="183"/>
    </row>
    <row r="92" spans="1:8" ht="17.25" customHeight="1" x14ac:dyDescent="0.25">
      <c r="A92" s="145"/>
      <c r="B92" s="179"/>
      <c r="C92" s="48" t="s">
        <v>226</v>
      </c>
      <c r="D92" s="666">
        <v>50000000000</v>
      </c>
      <c r="E92" s="220">
        <f>+E93+E96+E98+E100+E107+E109</f>
        <v>49055328341</v>
      </c>
      <c r="F92" s="665">
        <f t="shared" ref="F92:F110" si="4">+E92/D92*100</f>
        <v>98.110656681999998</v>
      </c>
      <c r="G92" s="110">
        <f t="shared" si="2"/>
        <v>98.110656681999998</v>
      </c>
      <c r="H92" s="183"/>
    </row>
    <row r="93" spans="1:8" ht="17.25" customHeight="1" x14ac:dyDescent="0.25">
      <c r="A93" s="145"/>
      <c r="B93" s="179"/>
      <c r="C93" s="48" t="s">
        <v>227</v>
      </c>
      <c r="D93" s="666">
        <v>9914088968</v>
      </c>
      <c r="E93" s="220">
        <f>SUM(E94:E95)</f>
        <v>9742298993</v>
      </c>
      <c r="F93" s="665">
        <f t="shared" si="4"/>
        <v>98.267213704108443</v>
      </c>
      <c r="G93" s="110">
        <f t="shared" si="2"/>
        <v>98.267213704108443</v>
      </c>
      <c r="H93" s="183"/>
    </row>
    <row r="94" spans="1:8" ht="17.25" customHeight="1" x14ac:dyDescent="0.25">
      <c r="A94" s="145"/>
      <c r="B94" s="179"/>
      <c r="C94" s="32" t="s">
        <v>228</v>
      </c>
      <c r="D94" s="667">
        <v>4930040000</v>
      </c>
      <c r="E94" s="221">
        <v>4798268581</v>
      </c>
      <c r="F94" s="664">
        <f t="shared" si="4"/>
        <v>97.327173430641537</v>
      </c>
      <c r="G94" s="235">
        <f t="shared" si="2"/>
        <v>97.327173430641537</v>
      </c>
      <c r="H94" s="183"/>
    </row>
    <row r="95" spans="1:8" ht="17.25" customHeight="1" x14ac:dyDescent="0.25">
      <c r="A95" s="145"/>
      <c r="B95" s="179"/>
      <c r="C95" s="32" t="s">
        <v>229</v>
      </c>
      <c r="D95" s="667">
        <v>4984048968</v>
      </c>
      <c r="E95" s="221">
        <v>4944030412</v>
      </c>
      <c r="F95" s="664">
        <f t="shared" si="4"/>
        <v>99.197067359150395</v>
      </c>
      <c r="G95" s="235">
        <f t="shared" si="2"/>
        <v>99.197067359150395</v>
      </c>
      <c r="H95" s="183"/>
    </row>
    <row r="96" spans="1:8" ht="17.25" customHeight="1" x14ac:dyDescent="0.25">
      <c r="A96" s="145"/>
      <c r="B96" s="179"/>
      <c r="C96" s="48" t="s">
        <v>166</v>
      </c>
      <c r="D96" s="666">
        <v>16674153264</v>
      </c>
      <c r="E96" s="220">
        <f>+E97</f>
        <v>16398939000</v>
      </c>
      <c r="F96" s="665">
        <f t="shared" si="4"/>
        <v>98.349455833573302</v>
      </c>
      <c r="G96" s="110">
        <f t="shared" si="2"/>
        <v>98.349455833573302</v>
      </c>
      <c r="H96" s="183"/>
    </row>
    <row r="97" spans="1:8" ht="17.25" customHeight="1" x14ac:dyDescent="0.25">
      <c r="A97" s="145"/>
      <c r="B97" s="179"/>
      <c r="C97" s="32" t="s">
        <v>230</v>
      </c>
      <c r="D97" s="667">
        <v>16674153264</v>
      </c>
      <c r="E97" s="221">
        <v>16398939000</v>
      </c>
      <c r="F97" s="664">
        <f t="shared" si="4"/>
        <v>98.349455833573302</v>
      </c>
      <c r="G97" s="235">
        <f t="shared" si="2"/>
        <v>98.349455833573302</v>
      </c>
      <c r="H97" s="183"/>
    </row>
    <row r="98" spans="1:8" ht="17.25" customHeight="1" x14ac:dyDescent="0.25">
      <c r="A98" s="145"/>
      <c r="B98" s="179"/>
      <c r="C98" s="48" t="s">
        <v>231</v>
      </c>
      <c r="D98" s="666">
        <v>2779800000</v>
      </c>
      <c r="E98" s="220">
        <f>+E99</f>
        <v>2779800000</v>
      </c>
      <c r="F98" s="665">
        <f t="shared" si="4"/>
        <v>100</v>
      </c>
      <c r="G98" s="110">
        <f t="shared" si="2"/>
        <v>100</v>
      </c>
      <c r="H98" s="183"/>
    </row>
    <row r="99" spans="1:8" ht="17.25" customHeight="1" x14ac:dyDescent="0.25">
      <c r="A99" s="145"/>
      <c r="B99" s="179"/>
      <c r="C99" s="32" t="s">
        <v>232</v>
      </c>
      <c r="D99" s="667">
        <v>2779800000</v>
      </c>
      <c r="E99" s="221">
        <f>+D99</f>
        <v>2779800000</v>
      </c>
      <c r="F99" s="664">
        <f t="shared" si="4"/>
        <v>100</v>
      </c>
      <c r="G99" s="235">
        <f t="shared" si="2"/>
        <v>100</v>
      </c>
      <c r="H99" s="183"/>
    </row>
    <row r="100" spans="1:8" ht="33" customHeight="1" x14ac:dyDescent="0.25">
      <c r="A100" s="145"/>
      <c r="B100" s="179"/>
      <c r="C100" s="217" t="s">
        <v>233</v>
      </c>
      <c r="D100" s="666">
        <v>18511957768</v>
      </c>
      <c r="E100" s="220">
        <f>SUM(E101:E106)</f>
        <v>18182290348</v>
      </c>
      <c r="F100" s="665">
        <f t="shared" si="4"/>
        <v>98.219165016841885</v>
      </c>
      <c r="G100" s="110">
        <f t="shared" si="2"/>
        <v>98.219165016841885</v>
      </c>
      <c r="H100" s="183"/>
    </row>
    <row r="101" spans="1:8" ht="17.25" customHeight="1" x14ac:dyDescent="0.25">
      <c r="A101" s="145"/>
      <c r="B101" s="179"/>
      <c r="C101" s="32" t="s">
        <v>234</v>
      </c>
      <c r="D101" s="667">
        <v>1500000000</v>
      </c>
      <c r="E101" s="221">
        <f>+D101</f>
        <v>1500000000</v>
      </c>
      <c r="F101" s="664">
        <f t="shared" si="4"/>
        <v>100</v>
      </c>
      <c r="G101" s="235">
        <f t="shared" si="2"/>
        <v>100</v>
      </c>
      <c r="H101" s="183"/>
    </row>
    <row r="102" spans="1:8" ht="17.25" customHeight="1" x14ac:dyDescent="0.25">
      <c r="A102" s="145"/>
      <c r="B102" s="179"/>
      <c r="C102" s="32" t="s">
        <v>235</v>
      </c>
      <c r="D102" s="667">
        <v>2000000000</v>
      </c>
      <c r="E102" s="221">
        <v>1982078274</v>
      </c>
      <c r="F102" s="664">
        <f t="shared" si="4"/>
        <v>99.103913700000007</v>
      </c>
      <c r="G102" s="235">
        <f t="shared" si="2"/>
        <v>99.103913700000007</v>
      </c>
      <c r="H102" s="183"/>
    </row>
    <row r="103" spans="1:8" ht="17.25" customHeight="1" x14ac:dyDescent="0.25">
      <c r="A103" s="145"/>
      <c r="B103" s="179"/>
      <c r="C103" s="32" t="s">
        <v>236</v>
      </c>
      <c r="D103" s="667">
        <v>5654000000</v>
      </c>
      <c r="E103" s="221">
        <v>5488670654</v>
      </c>
      <c r="F103" s="664">
        <f t="shared" si="4"/>
        <v>97.07588705341351</v>
      </c>
      <c r="G103" s="235">
        <f t="shared" si="2"/>
        <v>97.07588705341351</v>
      </c>
      <c r="H103" s="183"/>
    </row>
    <row r="104" spans="1:8" ht="17.25" customHeight="1" x14ac:dyDescent="0.25">
      <c r="A104" s="145"/>
      <c r="B104" s="179"/>
      <c r="C104" s="32" t="s">
        <v>237</v>
      </c>
      <c r="D104" s="667">
        <v>1034050000</v>
      </c>
      <c r="E104" s="221">
        <f>+D104</f>
        <v>1034050000</v>
      </c>
      <c r="F104" s="664">
        <f t="shared" si="4"/>
        <v>100</v>
      </c>
      <c r="G104" s="235">
        <f t="shared" si="2"/>
        <v>100</v>
      </c>
      <c r="H104" s="183"/>
    </row>
    <row r="105" spans="1:8" ht="17.25" customHeight="1" x14ac:dyDescent="0.25">
      <c r="A105" s="145"/>
      <c r="B105" s="179"/>
      <c r="C105" s="32" t="s">
        <v>238</v>
      </c>
      <c r="D105" s="667">
        <v>3373907768</v>
      </c>
      <c r="E105" s="221">
        <v>3252639500</v>
      </c>
      <c r="F105" s="664">
        <f t="shared" si="4"/>
        <v>96.40570293147384</v>
      </c>
      <c r="G105" s="235">
        <f t="shared" si="2"/>
        <v>96.40570293147384</v>
      </c>
      <c r="H105" s="183"/>
    </row>
    <row r="106" spans="1:8" ht="17.25" customHeight="1" x14ac:dyDescent="0.25">
      <c r="A106" s="145"/>
      <c r="B106" s="179"/>
      <c r="C106" s="32" t="s">
        <v>239</v>
      </c>
      <c r="D106" s="667">
        <v>4950000000</v>
      </c>
      <c r="E106" s="221">
        <v>4924851920</v>
      </c>
      <c r="F106" s="664">
        <f t="shared" si="4"/>
        <v>99.491957979797988</v>
      </c>
      <c r="G106" s="235">
        <f t="shared" si="2"/>
        <v>99.491957979797988</v>
      </c>
      <c r="H106" s="183"/>
    </row>
    <row r="107" spans="1:8" ht="35.25" customHeight="1" x14ac:dyDescent="0.25">
      <c r="A107" s="145"/>
      <c r="B107" s="179"/>
      <c r="C107" s="217" t="s">
        <v>240</v>
      </c>
      <c r="D107" s="666">
        <v>1720000000</v>
      </c>
      <c r="E107" s="220">
        <f>+E108</f>
        <v>1720000000</v>
      </c>
      <c r="F107" s="665">
        <f t="shared" si="4"/>
        <v>100</v>
      </c>
      <c r="G107" s="110">
        <f t="shared" si="2"/>
        <v>100</v>
      </c>
      <c r="H107" s="183"/>
    </row>
    <row r="108" spans="1:8" ht="17.25" customHeight="1" x14ac:dyDescent="0.25">
      <c r="A108" s="145"/>
      <c r="B108" s="179"/>
      <c r="C108" s="32" t="s">
        <v>241</v>
      </c>
      <c r="D108" s="667">
        <v>1720000000</v>
      </c>
      <c r="E108" s="221">
        <f>+D108</f>
        <v>1720000000</v>
      </c>
      <c r="F108" s="664">
        <f t="shared" si="4"/>
        <v>100</v>
      </c>
      <c r="G108" s="235">
        <f t="shared" si="2"/>
        <v>100</v>
      </c>
      <c r="H108" s="183"/>
    </row>
    <row r="109" spans="1:8" ht="17.25" customHeight="1" x14ac:dyDescent="0.25">
      <c r="A109" s="145"/>
      <c r="B109" s="179"/>
      <c r="C109" s="48" t="s">
        <v>202</v>
      </c>
      <c r="D109" s="666">
        <v>400000000</v>
      </c>
      <c r="E109" s="220">
        <f>+E110</f>
        <v>232000000</v>
      </c>
      <c r="F109" s="665">
        <f t="shared" si="4"/>
        <v>57.999999999999993</v>
      </c>
      <c r="G109" s="110">
        <f t="shared" si="2"/>
        <v>57.999999999999993</v>
      </c>
      <c r="H109" s="183"/>
    </row>
    <row r="110" spans="1:8" ht="17.25" customHeight="1" x14ac:dyDescent="0.25">
      <c r="A110" s="145"/>
      <c r="B110" s="179"/>
      <c r="C110" s="32" t="s">
        <v>242</v>
      </c>
      <c r="D110" s="667">
        <v>400000000</v>
      </c>
      <c r="E110" s="221">
        <v>232000000</v>
      </c>
      <c r="F110" s="664">
        <f t="shared" si="4"/>
        <v>57.999999999999993</v>
      </c>
      <c r="G110" s="235">
        <f t="shared" si="2"/>
        <v>57.999999999999993</v>
      </c>
      <c r="H110" s="183"/>
    </row>
    <row r="111" spans="1:8" ht="17.25" customHeight="1" x14ac:dyDescent="0.25">
      <c r="A111" s="145"/>
      <c r="B111" s="179"/>
      <c r="C111" s="32"/>
      <c r="D111" s="172"/>
      <c r="E111" s="108"/>
      <c r="F111" s="109"/>
      <c r="G111" s="110"/>
      <c r="H111" s="183"/>
    </row>
    <row r="112" spans="1:8" ht="17.25" customHeight="1" x14ac:dyDescent="0.25">
      <c r="A112" s="145"/>
      <c r="B112" s="179"/>
      <c r="C112" s="48" t="s">
        <v>243</v>
      </c>
      <c r="D112" s="112">
        <f>+D113+D115+D117+D124</f>
        <v>30000000000</v>
      </c>
      <c r="E112" s="220">
        <f>+E113+E115+E117+E124</f>
        <v>28449714731.460003</v>
      </c>
      <c r="F112" s="665">
        <f t="shared" ref="F112:F125" si="5">+E112/D112*100</f>
        <v>94.832382438200014</v>
      </c>
      <c r="G112" s="110">
        <f t="shared" si="2"/>
        <v>94.832382438200014</v>
      </c>
      <c r="H112" s="183"/>
    </row>
    <row r="113" spans="1:8" ht="17.25" customHeight="1" x14ac:dyDescent="0.25">
      <c r="A113" s="145"/>
      <c r="B113" s="179"/>
      <c r="C113" s="48" t="s">
        <v>227</v>
      </c>
      <c r="D113" s="112">
        <v>4376025000</v>
      </c>
      <c r="E113" s="220">
        <f>+E114</f>
        <v>4375165086</v>
      </c>
      <c r="F113" s="665">
        <f t="shared" si="5"/>
        <v>99.980349426705743</v>
      </c>
      <c r="G113" s="110">
        <f t="shared" si="2"/>
        <v>99.980349426705743</v>
      </c>
      <c r="H113" s="183"/>
    </row>
    <row r="114" spans="1:8" ht="17.25" customHeight="1" x14ac:dyDescent="0.25">
      <c r="A114" s="145"/>
      <c r="B114" s="179"/>
      <c r="C114" s="32" t="s">
        <v>229</v>
      </c>
      <c r="D114" s="172">
        <v>4376025000</v>
      </c>
      <c r="E114" s="221">
        <v>4375165086</v>
      </c>
      <c r="F114" s="664">
        <f t="shared" si="5"/>
        <v>99.980349426705743</v>
      </c>
      <c r="G114" s="235">
        <f t="shared" si="2"/>
        <v>99.980349426705743</v>
      </c>
      <c r="H114" s="183"/>
    </row>
    <row r="115" spans="1:8" ht="17.25" customHeight="1" x14ac:dyDescent="0.25">
      <c r="A115" s="145"/>
      <c r="B115" s="179"/>
      <c r="C115" s="48" t="s">
        <v>231</v>
      </c>
      <c r="D115" s="112">
        <v>8632170000</v>
      </c>
      <c r="E115" s="220">
        <f>+E116</f>
        <v>8370105413</v>
      </c>
      <c r="F115" s="665">
        <f t="shared" si="5"/>
        <v>96.964093767847487</v>
      </c>
      <c r="G115" s="110">
        <f t="shared" si="2"/>
        <v>96.964093767847487</v>
      </c>
      <c r="H115" s="183"/>
    </row>
    <row r="116" spans="1:8" ht="17.25" customHeight="1" x14ac:dyDescent="0.25">
      <c r="A116" s="145"/>
      <c r="B116" s="179"/>
      <c r="C116" s="32" t="s">
        <v>244</v>
      </c>
      <c r="D116" s="172">
        <v>8632170000</v>
      </c>
      <c r="E116" s="221">
        <v>8370105413</v>
      </c>
      <c r="F116" s="664">
        <f t="shared" si="5"/>
        <v>96.964093767847487</v>
      </c>
      <c r="G116" s="235">
        <f t="shared" si="2"/>
        <v>96.964093767847487</v>
      </c>
      <c r="H116" s="183"/>
    </row>
    <row r="117" spans="1:8" ht="40.5" customHeight="1" x14ac:dyDescent="0.25">
      <c r="A117" s="145"/>
      <c r="B117" s="179"/>
      <c r="C117" s="217" t="s">
        <v>233</v>
      </c>
      <c r="D117" s="112">
        <v>15990655000</v>
      </c>
      <c r="E117" s="220">
        <f>SUM(E118:E123)</f>
        <v>14704255774.58</v>
      </c>
      <c r="F117" s="665">
        <f t="shared" si="5"/>
        <v>91.955306237174156</v>
      </c>
      <c r="G117" s="110">
        <f t="shared" si="2"/>
        <v>91.955306237174156</v>
      </c>
      <c r="H117" s="183"/>
    </row>
    <row r="118" spans="1:8" ht="17.25" customHeight="1" x14ac:dyDescent="0.25">
      <c r="A118" s="145"/>
      <c r="B118" s="179"/>
      <c r="C118" s="32" t="s">
        <v>245</v>
      </c>
      <c r="D118" s="172">
        <v>500000000</v>
      </c>
      <c r="E118" s="221">
        <v>498522065</v>
      </c>
      <c r="F118" s="664">
        <f t="shared" si="5"/>
        <v>99.704413000000002</v>
      </c>
      <c r="G118" s="235">
        <f t="shared" si="2"/>
        <v>99.704413000000002</v>
      </c>
      <c r="H118" s="183"/>
    </row>
    <row r="119" spans="1:8" ht="17.25" customHeight="1" x14ac:dyDescent="0.25">
      <c r="A119" s="145"/>
      <c r="B119" s="179"/>
      <c r="C119" s="32" t="s">
        <v>234</v>
      </c>
      <c r="D119" s="172">
        <v>5756546000</v>
      </c>
      <c r="E119" s="221">
        <v>5692733269.5799999</v>
      </c>
      <c r="F119" s="664">
        <f t="shared" si="5"/>
        <v>98.891475366999586</v>
      </c>
      <c r="G119" s="235">
        <f t="shared" si="2"/>
        <v>98.891475366999586</v>
      </c>
      <c r="H119" s="183"/>
    </row>
    <row r="120" spans="1:8" ht="17.25" customHeight="1" x14ac:dyDescent="0.25">
      <c r="A120" s="145"/>
      <c r="B120" s="179"/>
      <c r="C120" s="32" t="s">
        <v>235</v>
      </c>
      <c r="D120" s="172">
        <v>2256800000</v>
      </c>
      <c r="E120" s="221">
        <v>2092900150</v>
      </c>
      <c r="F120" s="664">
        <f t="shared" si="5"/>
        <v>92.737511077632035</v>
      </c>
      <c r="G120" s="235">
        <f t="shared" si="2"/>
        <v>92.737511077632035</v>
      </c>
      <c r="H120" s="183"/>
    </row>
    <row r="121" spans="1:8" ht="17.25" customHeight="1" x14ac:dyDescent="0.25">
      <c r="A121" s="145"/>
      <c r="B121" s="179"/>
      <c r="C121" s="32" t="s">
        <v>246</v>
      </c>
      <c r="D121" s="172">
        <v>3827309000</v>
      </c>
      <c r="E121" s="221">
        <v>3574914673</v>
      </c>
      <c r="F121" s="664">
        <f t="shared" si="5"/>
        <v>93.40543637840581</v>
      </c>
      <c r="G121" s="235">
        <f t="shared" si="2"/>
        <v>93.40543637840581</v>
      </c>
      <c r="H121" s="183"/>
    </row>
    <row r="122" spans="1:8" ht="17.25" customHeight="1" x14ac:dyDescent="0.25">
      <c r="A122" s="145"/>
      <c r="B122" s="179"/>
      <c r="C122" s="32" t="s">
        <v>237</v>
      </c>
      <c r="D122" s="172">
        <v>650000000</v>
      </c>
      <c r="E122" s="221">
        <v>595327887</v>
      </c>
      <c r="F122" s="664">
        <f t="shared" si="5"/>
        <v>91.588905692307691</v>
      </c>
      <c r="G122" s="235">
        <f t="shared" si="2"/>
        <v>91.588905692307691</v>
      </c>
      <c r="H122" s="183"/>
    </row>
    <row r="123" spans="1:8" ht="17.25" customHeight="1" x14ac:dyDescent="0.25">
      <c r="A123" s="145"/>
      <c r="B123" s="179"/>
      <c r="C123" s="32" t="s">
        <v>238</v>
      </c>
      <c r="D123" s="172">
        <v>3000000000</v>
      </c>
      <c r="E123" s="221">
        <v>2249857730</v>
      </c>
      <c r="F123" s="664">
        <f t="shared" si="5"/>
        <v>74.995257666666674</v>
      </c>
      <c r="G123" s="235">
        <f t="shared" si="2"/>
        <v>74.995257666666674</v>
      </c>
      <c r="H123" s="183"/>
    </row>
    <row r="124" spans="1:8" ht="33" customHeight="1" x14ac:dyDescent="0.25">
      <c r="A124" s="145"/>
      <c r="B124" s="179"/>
      <c r="C124" s="217" t="s">
        <v>240</v>
      </c>
      <c r="D124" s="112">
        <v>1001150000</v>
      </c>
      <c r="E124" s="220">
        <f>+E125</f>
        <v>1000188457.88</v>
      </c>
      <c r="F124" s="665">
        <f t="shared" si="5"/>
        <v>99.903956238325918</v>
      </c>
      <c r="G124" s="110">
        <f t="shared" si="2"/>
        <v>99.903956238325918</v>
      </c>
      <c r="H124" s="183"/>
    </row>
    <row r="125" spans="1:8" ht="17.25" customHeight="1" x14ac:dyDescent="0.25">
      <c r="A125" s="145"/>
      <c r="B125" s="179"/>
      <c r="C125" s="32" t="s">
        <v>247</v>
      </c>
      <c r="D125" s="172">
        <v>1001150000</v>
      </c>
      <c r="E125" s="221">
        <v>1000188457.88</v>
      </c>
      <c r="F125" s="664">
        <f t="shared" si="5"/>
        <v>99.903956238325918</v>
      </c>
      <c r="G125" s="235">
        <f t="shared" si="2"/>
        <v>99.903956238325918</v>
      </c>
      <c r="H125" s="183"/>
    </row>
    <row r="126" spans="1:8" ht="17.25" customHeight="1" x14ac:dyDescent="0.25">
      <c r="A126" s="145"/>
      <c r="B126" s="179"/>
      <c r="C126" s="32"/>
      <c r="D126" s="172"/>
      <c r="E126" s="108"/>
      <c r="F126" s="664"/>
      <c r="G126" s="110">
        <f t="shared" si="2"/>
        <v>0</v>
      </c>
      <c r="H126" s="183"/>
    </row>
    <row r="127" spans="1:8" ht="17.25" customHeight="1" x14ac:dyDescent="0.25">
      <c r="A127" s="145"/>
      <c r="B127" s="179"/>
      <c r="C127" s="48" t="s">
        <v>248</v>
      </c>
      <c r="D127" s="112">
        <v>20000000000</v>
      </c>
      <c r="E127" s="220">
        <f>+E128+E130+E137+E139</f>
        <v>18221740368</v>
      </c>
      <c r="F127" s="665">
        <f t="shared" ref="F127:F144" si="6">+E127/D127*100</f>
        <v>91.108701839999995</v>
      </c>
      <c r="G127" s="110">
        <f t="shared" si="2"/>
        <v>91.108701839999995</v>
      </c>
      <c r="H127" s="183"/>
    </row>
    <row r="128" spans="1:8" ht="17.25" customHeight="1" x14ac:dyDescent="0.25">
      <c r="A128" s="145"/>
      <c r="B128" s="179"/>
      <c r="C128" s="48" t="s">
        <v>249</v>
      </c>
      <c r="D128" s="112">
        <v>50000000</v>
      </c>
      <c r="E128" s="220">
        <f>+E129</f>
        <v>46982500</v>
      </c>
      <c r="F128" s="665">
        <f t="shared" si="6"/>
        <v>93.965000000000003</v>
      </c>
      <c r="G128" s="110">
        <f t="shared" si="2"/>
        <v>93.965000000000003</v>
      </c>
      <c r="H128" s="183"/>
    </row>
    <row r="129" spans="1:8" ht="17.25" customHeight="1" x14ac:dyDescent="0.25">
      <c r="A129" s="145"/>
      <c r="B129" s="179"/>
      <c r="C129" s="32" t="s">
        <v>250</v>
      </c>
      <c r="D129" s="172">
        <v>50000000</v>
      </c>
      <c r="E129" s="221">
        <v>46982500</v>
      </c>
      <c r="F129" s="664">
        <f t="shared" si="6"/>
        <v>93.965000000000003</v>
      </c>
      <c r="G129" s="235">
        <f t="shared" si="2"/>
        <v>93.965000000000003</v>
      </c>
      <c r="H129" s="183"/>
    </row>
    <row r="130" spans="1:8" ht="36" customHeight="1" x14ac:dyDescent="0.25">
      <c r="A130" s="145"/>
      <c r="B130" s="179"/>
      <c r="C130" s="217" t="s">
        <v>233</v>
      </c>
      <c r="D130" s="112">
        <v>10666600000</v>
      </c>
      <c r="E130" s="220">
        <f>SUM(E131:E136)</f>
        <v>9105363706</v>
      </c>
      <c r="F130" s="665">
        <f t="shared" si="6"/>
        <v>85.363318264489152</v>
      </c>
      <c r="G130" s="110">
        <f t="shared" si="2"/>
        <v>85.363318264489152</v>
      </c>
      <c r="H130" s="183"/>
    </row>
    <row r="131" spans="1:8" ht="17.25" customHeight="1" x14ac:dyDescent="0.25">
      <c r="A131" s="145"/>
      <c r="B131" s="179"/>
      <c r="C131" s="32" t="s">
        <v>245</v>
      </c>
      <c r="D131" s="172">
        <v>3200000000</v>
      </c>
      <c r="E131" s="221">
        <v>2577041250</v>
      </c>
      <c r="F131" s="664">
        <f t="shared" si="6"/>
        <v>80.532539062499993</v>
      </c>
      <c r="G131" s="235">
        <f t="shared" si="2"/>
        <v>80.532539062499993</v>
      </c>
      <c r="H131" s="183"/>
    </row>
    <row r="132" spans="1:8" ht="17.25" customHeight="1" x14ac:dyDescent="0.25">
      <c r="A132" s="145"/>
      <c r="B132" s="179"/>
      <c r="C132" s="32" t="s">
        <v>251</v>
      </c>
      <c r="D132" s="172">
        <v>2750000000</v>
      </c>
      <c r="E132" s="221">
        <v>2714886800</v>
      </c>
      <c r="F132" s="664">
        <f t="shared" si="6"/>
        <v>98.723156363636363</v>
      </c>
      <c r="G132" s="235">
        <f t="shared" si="2"/>
        <v>98.723156363636363</v>
      </c>
      <c r="H132" s="183"/>
    </row>
    <row r="133" spans="1:8" ht="17.25" customHeight="1" x14ac:dyDescent="0.25">
      <c r="A133" s="145"/>
      <c r="B133" s="179"/>
      <c r="C133" s="32" t="s">
        <v>234</v>
      </c>
      <c r="D133" s="172">
        <v>1070157994</v>
      </c>
      <c r="E133" s="221">
        <v>497655961</v>
      </c>
      <c r="F133" s="664">
        <f t="shared" si="6"/>
        <v>46.503036354461877</v>
      </c>
      <c r="G133" s="235">
        <f t="shared" si="2"/>
        <v>46.503036354461877</v>
      </c>
      <c r="H133" s="183"/>
    </row>
    <row r="134" spans="1:8" ht="35.25" customHeight="1" x14ac:dyDescent="0.25">
      <c r="A134" s="145"/>
      <c r="B134" s="179"/>
      <c r="C134" s="119" t="s">
        <v>246</v>
      </c>
      <c r="D134" s="172">
        <v>536442006</v>
      </c>
      <c r="E134" s="221">
        <v>533374050</v>
      </c>
      <c r="F134" s="664">
        <f t="shared" si="6"/>
        <v>99.428091766549684</v>
      </c>
      <c r="G134" s="235">
        <f t="shared" si="2"/>
        <v>99.428091766549684</v>
      </c>
      <c r="H134" s="183"/>
    </row>
    <row r="135" spans="1:8" ht="17.25" customHeight="1" x14ac:dyDescent="0.25">
      <c r="A135" s="145"/>
      <c r="B135" s="179"/>
      <c r="C135" s="32" t="s">
        <v>236</v>
      </c>
      <c r="D135" s="172">
        <v>190000000</v>
      </c>
      <c r="E135" s="221">
        <v>188787500</v>
      </c>
      <c r="F135" s="664">
        <f t="shared" si="6"/>
        <v>99.36184210526315</v>
      </c>
      <c r="G135" s="235">
        <f t="shared" si="2"/>
        <v>99.36184210526315</v>
      </c>
      <c r="H135" s="183"/>
    </row>
    <row r="136" spans="1:8" ht="17.25" customHeight="1" x14ac:dyDescent="0.25">
      <c r="A136" s="145"/>
      <c r="B136" s="179"/>
      <c r="C136" s="32" t="s">
        <v>238</v>
      </c>
      <c r="D136" s="172">
        <v>2920000000</v>
      </c>
      <c r="E136" s="221">
        <v>2593618145</v>
      </c>
      <c r="F136" s="664">
        <f t="shared" si="6"/>
        <v>88.822539212328763</v>
      </c>
      <c r="G136" s="235">
        <f t="shared" si="2"/>
        <v>88.822539212328763</v>
      </c>
      <c r="H136" s="183"/>
    </row>
    <row r="137" spans="1:8" ht="32.25" customHeight="1" x14ac:dyDescent="0.25">
      <c r="A137" s="145"/>
      <c r="B137" s="179"/>
      <c r="C137" s="217" t="s">
        <v>240</v>
      </c>
      <c r="D137" s="112">
        <v>43250000</v>
      </c>
      <c r="E137" s="220">
        <f>+E138</f>
        <v>13300000</v>
      </c>
      <c r="F137" s="665">
        <f t="shared" si="6"/>
        <v>30.751445086705203</v>
      </c>
      <c r="G137" s="110">
        <f t="shared" si="2"/>
        <v>30.751445086705203</v>
      </c>
      <c r="H137" s="183"/>
    </row>
    <row r="138" spans="1:8" ht="17.25" customHeight="1" x14ac:dyDescent="0.25">
      <c r="A138" s="145"/>
      <c r="B138" s="179"/>
      <c r="C138" s="32" t="s">
        <v>252</v>
      </c>
      <c r="D138" s="172">
        <v>43250000</v>
      </c>
      <c r="E138" s="221">
        <v>13300000</v>
      </c>
      <c r="F138" s="664">
        <f t="shared" si="6"/>
        <v>30.751445086705203</v>
      </c>
      <c r="G138" s="235">
        <f t="shared" si="2"/>
        <v>30.751445086705203</v>
      </c>
      <c r="H138" s="183"/>
    </row>
    <row r="139" spans="1:8" ht="17.25" customHeight="1" x14ac:dyDescent="0.25">
      <c r="A139" s="145"/>
      <c r="B139" s="179"/>
      <c r="C139" s="48" t="s">
        <v>221</v>
      </c>
      <c r="D139" s="230">
        <v>9748900000</v>
      </c>
      <c r="E139" s="230">
        <v>9056094162</v>
      </c>
      <c r="F139" s="665">
        <f t="shared" si="6"/>
        <v>92.893497338161225</v>
      </c>
      <c r="G139" s="110">
        <f t="shared" si="2"/>
        <v>92.893497338161225</v>
      </c>
      <c r="H139" s="183"/>
    </row>
    <row r="140" spans="1:8" ht="17.25" customHeight="1" x14ac:dyDescent="0.25">
      <c r="A140" s="145"/>
      <c r="B140" s="179"/>
      <c r="C140" s="32" t="s">
        <v>253</v>
      </c>
      <c r="D140" s="233">
        <v>1973450000</v>
      </c>
      <c r="E140" s="233">
        <v>1752910838</v>
      </c>
      <c r="F140" s="664">
        <f t="shared" si="6"/>
        <v>88.824689655172421</v>
      </c>
      <c r="G140" s="235">
        <f t="shared" si="2"/>
        <v>88.824689655172421</v>
      </c>
      <c r="H140" s="183"/>
    </row>
    <row r="141" spans="1:8" ht="17.25" customHeight="1" x14ac:dyDescent="0.25">
      <c r="A141" s="145"/>
      <c r="B141" s="179"/>
      <c r="C141" s="32" t="s">
        <v>254</v>
      </c>
      <c r="D141" s="233">
        <v>2307750000</v>
      </c>
      <c r="E141" s="233">
        <v>2296166200</v>
      </c>
      <c r="F141" s="664">
        <f t="shared" si="6"/>
        <v>99.498047882136277</v>
      </c>
      <c r="G141" s="235">
        <f t="shared" si="2"/>
        <v>99.498047882136277</v>
      </c>
      <c r="H141" s="183"/>
    </row>
    <row r="142" spans="1:8" ht="17.25" customHeight="1" x14ac:dyDescent="0.25">
      <c r="A142" s="145"/>
      <c r="B142" s="179"/>
      <c r="C142" s="32" t="s">
        <v>255</v>
      </c>
      <c r="D142" s="233">
        <v>269200000</v>
      </c>
      <c r="E142" s="233">
        <v>242101400</v>
      </c>
      <c r="F142" s="664">
        <f t="shared" si="6"/>
        <v>89.933655274888551</v>
      </c>
      <c r="G142" s="235">
        <f t="shared" si="2"/>
        <v>89.933655274888551</v>
      </c>
      <c r="H142" s="183"/>
    </row>
    <row r="143" spans="1:8" ht="17.25" customHeight="1" x14ac:dyDescent="0.25">
      <c r="A143" s="145"/>
      <c r="B143" s="179"/>
      <c r="C143" s="32" t="s">
        <v>256</v>
      </c>
      <c r="D143" s="233">
        <v>1378500000</v>
      </c>
      <c r="E143" s="233">
        <v>1286069003</v>
      </c>
      <c r="F143" s="664">
        <f t="shared" si="6"/>
        <v>93.294813420384472</v>
      </c>
      <c r="G143" s="235">
        <f t="shared" ref="G143:G144" si="7">+F143</f>
        <v>93.294813420384472</v>
      </c>
      <c r="H143" s="183"/>
    </row>
    <row r="144" spans="1:8" ht="17.25" customHeight="1" x14ac:dyDescent="0.25">
      <c r="A144" s="145"/>
      <c r="B144" s="179"/>
      <c r="C144" s="32" t="s">
        <v>257</v>
      </c>
      <c r="D144" s="233">
        <v>3820000000</v>
      </c>
      <c r="E144" s="233">
        <v>3478846721</v>
      </c>
      <c r="F144" s="664">
        <f t="shared" si="6"/>
        <v>91.069285890052356</v>
      </c>
      <c r="G144" s="235">
        <f t="shared" si="7"/>
        <v>91.069285890052356</v>
      </c>
      <c r="H144" s="183"/>
    </row>
    <row r="145" spans="1:8" ht="17.25" customHeight="1" x14ac:dyDescent="0.25">
      <c r="A145" s="145"/>
      <c r="B145" s="179"/>
      <c r="C145" s="180"/>
      <c r="D145" s="181"/>
      <c r="E145" s="181"/>
      <c r="F145" s="53"/>
      <c r="G145" s="117"/>
      <c r="H145" s="183"/>
    </row>
    <row r="146" spans="1:8" ht="17.25" customHeight="1" x14ac:dyDescent="0.25">
      <c r="A146" s="145"/>
      <c r="B146" s="184"/>
      <c r="C146" s="48" t="s">
        <v>64</v>
      </c>
      <c r="D146" s="120">
        <f>+A.3!E5725</f>
        <v>270000000000</v>
      </c>
      <c r="E146" s="185">
        <f>+A.3!F5725</f>
        <v>270000000000</v>
      </c>
      <c r="F146" s="186">
        <f>+E146/D146*100</f>
        <v>100</v>
      </c>
      <c r="G146" s="114">
        <f>+F146</f>
        <v>100</v>
      </c>
      <c r="H146" s="183"/>
    </row>
    <row r="147" spans="1:8" ht="17.25" customHeight="1" x14ac:dyDescent="0.25">
      <c r="A147" s="145"/>
      <c r="B147" s="179"/>
      <c r="C147" s="180"/>
      <c r="D147" s="181"/>
      <c r="E147" s="181"/>
      <c r="F147" s="53"/>
      <c r="G147" s="117"/>
      <c r="H147" s="183"/>
    </row>
    <row r="148" spans="1:8" s="154" customFormat="1" ht="17.25" customHeight="1" x14ac:dyDescent="0.25">
      <c r="A148" s="153"/>
      <c r="B148" s="184" t="s">
        <v>3984</v>
      </c>
      <c r="C148" s="180" t="s">
        <v>674</v>
      </c>
      <c r="D148" s="185">
        <f>+D149+D180+D241+D273+D385+D446+D483+D526+D548+D578+D614+D631+D667+D703+D715+D749+D778+D799+D865+D896+D920+D941+D967+D1002+D1022+D1077+D1100+D1132+D337</f>
        <v>476440030674</v>
      </c>
      <c r="E148" s="185">
        <f>+E149+E180+E241+E273+E385+E446+E483+E526+E548+E578+E614+E631+E667+E703+E715+E749+E778+E799+E865+E896+E920+E941+E967+E1002+E1022+E1077+E1100+E1132+E337</f>
        <v>405938719436</v>
      </c>
      <c r="F148" s="186">
        <f>+E148/D148*100</f>
        <v>85.202479493953376</v>
      </c>
      <c r="G148" s="114">
        <f>(+G149+G180+G241+G273+G385+G446+G483+G526+G548+G578+G614+G631+G667+G703+G715+G749+G778+G799+G865+G896+G920+G941+G967+G1002+G1022+G1077+G1100+G1132+G337)/29</f>
        <v>84.633228344874169</v>
      </c>
      <c r="H148" s="188"/>
    </row>
    <row r="149" spans="1:8" ht="17.25" customHeight="1" x14ac:dyDescent="0.25">
      <c r="B149" s="191" t="s">
        <v>675</v>
      </c>
      <c r="C149" s="668" t="s">
        <v>4028</v>
      </c>
      <c r="D149" s="669">
        <f>D150</f>
        <v>15377020800</v>
      </c>
      <c r="E149" s="576">
        <f>+E150</f>
        <v>9742883245</v>
      </c>
      <c r="F149" s="670">
        <f>+E149/D149*100</f>
        <v>63.360018638981096</v>
      </c>
      <c r="G149" s="114">
        <f>+G150</f>
        <v>78.412987012987017</v>
      </c>
      <c r="H149" s="183"/>
    </row>
    <row r="150" spans="1:8" ht="17.25" customHeight="1" x14ac:dyDescent="0.25">
      <c r="B150" s="190"/>
      <c r="C150" s="671" t="s">
        <v>150</v>
      </c>
      <c r="D150" s="125">
        <v>15377020800</v>
      </c>
      <c r="E150" s="596">
        <v>9742883245</v>
      </c>
      <c r="F150" s="596">
        <v>63.360018638981096</v>
      </c>
      <c r="G150" s="368">
        <v>78.412987012987017</v>
      </c>
      <c r="H150" s="183"/>
    </row>
    <row r="151" spans="1:8" ht="17.25" customHeight="1" x14ac:dyDescent="0.25">
      <c r="B151" s="190"/>
      <c r="C151" s="672" t="s">
        <v>166</v>
      </c>
      <c r="D151" s="125">
        <v>7829721800</v>
      </c>
      <c r="E151" s="596">
        <v>4593483570</v>
      </c>
      <c r="F151" s="596">
        <v>58.667264142130826</v>
      </c>
      <c r="G151" s="368">
        <v>67.428571428571431</v>
      </c>
      <c r="H151" s="183"/>
    </row>
    <row r="152" spans="1:8" ht="17.25" customHeight="1" x14ac:dyDescent="0.25">
      <c r="B152" s="190"/>
      <c r="C152" s="673" t="s">
        <v>698</v>
      </c>
      <c r="D152" s="582">
        <v>3780000000</v>
      </c>
      <c r="E152" s="597">
        <v>1938600000</v>
      </c>
      <c r="F152" s="597">
        <v>51.285714285714292</v>
      </c>
      <c r="G152" s="369">
        <v>55</v>
      </c>
      <c r="H152" s="183"/>
    </row>
    <row r="153" spans="1:8" ht="17.25" customHeight="1" x14ac:dyDescent="0.25">
      <c r="B153" s="190"/>
      <c r="C153" s="673" t="s">
        <v>699</v>
      </c>
      <c r="D153" s="582">
        <v>342300000</v>
      </c>
      <c r="E153" s="597">
        <v>182811900</v>
      </c>
      <c r="F153" s="597">
        <v>53.406923751095526</v>
      </c>
      <c r="G153" s="369">
        <v>75</v>
      </c>
      <c r="H153" s="183"/>
    </row>
    <row r="154" spans="1:8" ht="17.25" customHeight="1" x14ac:dyDescent="0.25">
      <c r="B154" s="190"/>
      <c r="C154" s="673" t="s">
        <v>700</v>
      </c>
      <c r="D154" s="582">
        <v>400000000</v>
      </c>
      <c r="E154" s="597">
        <v>341590000</v>
      </c>
      <c r="F154" s="597">
        <v>85.397500000000008</v>
      </c>
      <c r="G154" s="369">
        <v>90</v>
      </c>
      <c r="H154" s="183"/>
    </row>
    <row r="155" spans="1:8" ht="17.25" customHeight="1" x14ac:dyDescent="0.25">
      <c r="B155" s="190"/>
      <c r="C155" s="673" t="s">
        <v>701</v>
      </c>
      <c r="D155" s="582">
        <v>258909300</v>
      </c>
      <c r="E155" s="597">
        <v>84506700</v>
      </c>
      <c r="F155" s="597">
        <v>32.639499623999605</v>
      </c>
      <c r="G155" s="369">
        <v>35</v>
      </c>
      <c r="H155" s="183"/>
    </row>
    <row r="156" spans="1:8" ht="17.25" customHeight="1" x14ac:dyDescent="0.25">
      <c r="B156" s="190"/>
      <c r="C156" s="673" t="s">
        <v>702</v>
      </c>
      <c r="D156" s="582">
        <v>249500000</v>
      </c>
      <c r="E156" s="597">
        <v>136750000</v>
      </c>
      <c r="F156" s="597">
        <v>54.809619238476955</v>
      </c>
      <c r="G156" s="369">
        <v>55</v>
      </c>
      <c r="H156" s="183"/>
    </row>
    <row r="157" spans="1:8" ht="17.25" customHeight="1" x14ac:dyDescent="0.25">
      <c r="B157" s="190"/>
      <c r="C157" s="673" t="s">
        <v>703</v>
      </c>
      <c r="D157" s="582">
        <v>1299012500</v>
      </c>
      <c r="E157" s="597">
        <v>1119831470</v>
      </c>
      <c r="F157" s="597">
        <v>86.206365989549752</v>
      </c>
      <c r="G157" s="369">
        <v>87</v>
      </c>
      <c r="H157" s="183"/>
    </row>
    <row r="158" spans="1:8" ht="17.25" customHeight="1" x14ac:dyDescent="0.25">
      <c r="B158" s="190"/>
      <c r="C158" s="673" t="s">
        <v>704</v>
      </c>
      <c r="D158" s="582">
        <v>1500000000</v>
      </c>
      <c r="E158" s="597">
        <v>789393500</v>
      </c>
      <c r="F158" s="597">
        <v>52.626233333333339</v>
      </c>
      <c r="G158" s="369">
        <v>75</v>
      </c>
      <c r="H158" s="183"/>
    </row>
    <row r="159" spans="1:8" ht="17.25" customHeight="1" x14ac:dyDescent="0.25">
      <c r="B159" s="190"/>
      <c r="C159" s="672" t="s">
        <v>705</v>
      </c>
      <c r="D159" s="125">
        <v>118450000</v>
      </c>
      <c r="E159" s="596">
        <v>111886200</v>
      </c>
      <c r="F159" s="596">
        <v>94.45859012241452</v>
      </c>
      <c r="G159" s="368">
        <v>100</v>
      </c>
      <c r="H159" s="183"/>
    </row>
    <row r="160" spans="1:8" ht="17.25" customHeight="1" x14ac:dyDescent="0.25">
      <c r="B160" s="190"/>
      <c r="C160" s="673" t="s">
        <v>706</v>
      </c>
      <c r="D160" s="582">
        <v>118450000</v>
      </c>
      <c r="E160" s="597">
        <v>111886200</v>
      </c>
      <c r="F160" s="597">
        <v>94.45859012241452</v>
      </c>
      <c r="G160" s="369">
        <v>100</v>
      </c>
      <c r="H160" s="183"/>
    </row>
    <row r="161" spans="2:8" ht="17.25" customHeight="1" x14ac:dyDescent="0.25">
      <c r="B161" s="190"/>
      <c r="C161" s="672" t="s">
        <v>177</v>
      </c>
      <c r="D161" s="125">
        <v>2196075000</v>
      </c>
      <c r="E161" s="596">
        <v>2121825000</v>
      </c>
      <c r="F161" s="596">
        <v>96.6189679314231</v>
      </c>
      <c r="G161" s="368">
        <v>98.5</v>
      </c>
      <c r="H161" s="183"/>
    </row>
    <row r="162" spans="2:8" ht="17.25" customHeight="1" x14ac:dyDescent="0.25">
      <c r="B162" s="190"/>
      <c r="C162" s="673" t="s">
        <v>707</v>
      </c>
      <c r="D162" s="582">
        <v>171075000</v>
      </c>
      <c r="E162" s="597">
        <v>171075000</v>
      </c>
      <c r="F162" s="597">
        <v>100</v>
      </c>
      <c r="G162" s="369">
        <v>100</v>
      </c>
      <c r="H162" s="183"/>
    </row>
    <row r="163" spans="2:8" ht="17.25" customHeight="1" x14ac:dyDescent="0.25">
      <c r="B163" s="190"/>
      <c r="C163" s="673" t="s">
        <v>708</v>
      </c>
      <c r="D163" s="582">
        <v>2025000000</v>
      </c>
      <c r="E163" s="597">
        <v>1950750000</v>
      </c>
      <c r="F163" s="597">
        <v>96.333333333333343</v>
      </c>
      <c r="G163" s="369">
        <v>97</v>
      </c>
      <c r="H163" s="183"/>
    </row>
    <row r="164" spans="2:8" ht="17.25" customHeight="1" x14ac:dyDescent="0.25">
      <c r="B164" s="190"/>
      <c r="C164" s="672" t="s">
        <v>182</v>
      </c>
      <c r="D164" s="125">
        <v>2297035000</v>
      </c>
      <c r="E164" s="596">
        <v>982435500</v>
      </c>
      <c r="F164" s="596">
        <v>42.769722707751512</v>
      </c>
      <c r="G164" s="368">
        <v>43.636363636363633</v>
      </c>
      <c r="H164" s="183"/>
    </row>
    <row r="165" spans="2:8" ht="17.25" customHeight="1" x14ac:dyDescent="0.25">
      <c r="B165" s="190"/>
      <c r="C165" s="673" t="s">
        <v>709</v>
      </c>
      <c r="D165" s="582">
        <v>482000000</v>
      </c>
      <c r="E165" s="597">
        <v>300000000</v>
      </c>
      <c r="F165" s="597">
        <v>62.240663900414937</v>
      </c>
      <c r="G165" s="369">
        <v>65</v>
      </c>
      <c r="H165" s="183"/>
    </row>
    <row r="166" spans="2:8" ht="17.25" customHeight="1" x14ac:dyDescent="0.25">
      <c r="B166" s="190"/>
      <c r="C166" s="673" t="s">
        <v>710</v>
      </c>
      <c r="D166" s="582">
        <v>150360000</v>
      </c>
      <c r="E166" s="597">
        <v>39905000</v>
      </c>
      <c r="F166" s="597">
        <v>26.539638201649375</v>
      </c>
      <c r="G166" s="369">
        <v>30</v>
      </c>
      <c r="H166" s="183"/>
    </row>
    <row r="167" spans="2:8" ht="17.25" customHeight="1" x14ac:dyDescent="0.25">
      <c r="B167" s="190"/>
      <c r="C167" s="673" t="s">
        <v>711</v>
      </c>
      <c r="D167" s="582">
        <v>370530000</v>
      </c>
      <c r="E167" s="597">
        <v>114130000</v>
      </c>
      <c r="F167" s="597">
        <v>30.801824413677704</v>
      </c>
      <c r="G167" s="369">
        <v>31</v>
      </c>
      <c r="H167" s="183"/>
    </row>
    <row r="168" spans="2:8" ht="17.25" customHeight="1" x14ac:dyDescent="0.25">
      <c r="B168" s="190"/>
      <c r="C168" s="673" t="s">
        <v>712</v>
      </c>
      <c r="D168" s="582">
        <v>80160000</v>
      </c>
      <c r="E168" s="597">
        <v>0</v>
      </c>
      <c r="F168" s="597">
        <v>0</v>
      </c>
      <c r="G168" s="369">
        <v>0</v>
      </c>
      <c r="H168" s="183"/>
    </row>
    <row r="169" spans="2:8" ht="17.25" customHeight="1" x14ac:dyDescent="0.25">
      <c r="B169" s="190"/>
      <c r="C169" s="673" t="s">
        <v>713</v>
      </c>
      <c r="D169" s="582">
        <v>150030000</v>
      </c>
      <c r="E169" s="597">
        <v>135000000</v>
      </c>
      <c r="F169" s="597">
        <v>89.982003599280148</v>
      </c>
      <c r="G169" s="369">
        <v>70</v>
      </c>
      <c r="H169" s="183"/>
    </row>
    <row r="170" spans="2:8" ht="17.25" customHeight="1" x14ac:dyDescent="0.25">
      <c r="B170" s="190"/>
      <c r="C170" s="673" t="s">
        <v>714</v>
      </c>
      <c r="D170" s="582">
        <v>116660000</v>
      </c>
      <c r="E170" s="597">
        <v>89536500</v>
      </c>
      <c r="F170" s="597">
        <v>76.749957140408014</v>
      </c>
      <c r="G170" s="369">
        <v>77</v>
      </c>
      <c r="H170" s="183"/>
    </row>
    <row r="171" spans="2:8" ht="17.25" customHeight="1" x14ac:dyDescent="0.25">
      <c r="B171" s="190"/>
      <c r="C171" s="673" t="s">
        <v>715</v>
      </c>
      <c r="D171" s="582">
        <v>398475000</v>
      </c>
      <c r="E171" s="597">
        <v>0</v>
      </c>
      <c r="F171" s="597">
        <v>0</v>
      </c>
      <c r="G171" s="369">
        <v>0</v>
      </c>
      <c r="H171" s="183"/>
    </row>
    <row r="172" spans="2:8" ht="17.25" customHeight="1" x14ac:dyDescent="0.25">
      <c r="B172" s="190"/>
      <c r="C172" s="673" t="s">
        <v>716</v>
      </c>
      <c r="D172" s="582">
        <v>36800000</v>
      </c>
      <c r="E172" s="597">
        <v>0</v>
      </c>
      <c r="F172" s="597">
        <v>0</v>
      </c>
      <c r="G172" s="369">
        <v>0</v>
      </c>
      <c r="H172" s="183"/>
    </row>
    <row r="173" spans="2:8" ht="17.25" customHeight="1" x14ac:dyDescent="0.25">
      <c r="B173" s="190"/>
      <c r="C173" s="673" t="s">
        <v>717</v>
      </c>
      <c r="D173" s="582">
        <v>201260000</v>
      </c>
      <c r="E173" s="597">
        <v>151200000</v>
      </c>
      <c r="F173" s="597">
        <v>75.126701778793603</v>
      </c>
      <c r="G173" s="369">
        <v>77</v>
      </c>
      <c r="H173" s="183"/>
    </row>
    <row r="174" spans="2:8" ht="17.25" customHeight="1" x14ac:dyDescent="0.25">
      <c r="B174" s="190"/>
      <c r="C174" s="673" t="s">
        <v>718</v>
      </c>
      <c r="D174" s="582">
        <v>91580000</v>
      </c>
      <c r="E174" s="597">
        <v>91464000</v>
      </c>
      <c r="F174" s="597">
        <v>99.873334789255296</v>
      </c>
      <c r="G174" s="369">
        <v>100</v>
      </c>
      <c r="H174" s="183"/>
    </row>
    <row r="175" spans="2:8" ht="17.25" customHeight="1" x14ac:dyDescent="0.25">
      <c r="B175" s="190"/>
      <c r="C175" s="673" t="s">
        <v>719</v>
      </c>
      <c r="D175" s="582">
        <v>219180000</v>
      </c>
      <c r="E175" s="597">
        <v>61200000</v>
      </c>
      <c r="F175" s="597">
        <v>27.922255680262797</v>
      </c>
      <c r="G175" s="369">
        <v>30</v>
      </c>
      <c r="H175" s="183"/>
    </row>
    <row r="176" spans="2:8" ht="17.25" customHeight="1" x14ac:dyDescent="0.25">
      <c r="B176" s="190"/>
      <c r="C176" s="672" t="s">
        <v>720</v>
      </c>
      <c r="D176" s="125">
        <v>2935739000</v>
      </c>
      <c r="E176" s="596">
        <v>1933252975</v>
      </c>
      <c r="F176" s="596">
        <v>65.852345014321784</v>
      </c>
      <c r="G176" s="368">
        <v>82.5</v>
      </c>
      <c r="H176" s="183"/>
    </row>
    <row r="177" spans="2:9" ht="17.25" customHeight="1" x14ac:dyDescent="0.25">
      <c r="B177" s="190"/>
      <c r="C177" s="673" t="s">
        <v>721</v>
      </c>
      <c r="D177" s="582">
        <v>2631000000</v>
      </c>
      <c r="E177" s="597">
        <v>1637206175</v>
      </c>
      <c r="F177" s="597">
        <v>62.227524705435201</v>
      </c>
      <c r="G177" s="369">
        <v>65</v>
      </c>
      <c r="H177" s="183"/>
    </row>
    <row r="178" spans="2:9" ht="17.25" customHeight="1" x14ac:dyDescent="0.25">
      <c r="B178" s="190"/>
      <c r="C178" s="673" t="s">
        <v>722</v>
      </c>
      <c r="D178" s="582">
        <v>304739000</v>
      </c>
      <c r="E178" s="597">
        <v>296046800</v>
      </c>
      <c r="F178" s="597">
        <v>97.14765750363425</v>
      </c>
      <c r="G178" s="369">
        <v>100</v>
      </c>
      <c r="H178" s="183"/>
    </row>
    <row r="179" spans="2:9" ht="17.25" customHeight="1" x14ac:dyDescent="0.25">
      <c r="B179" s="179"/>
      <c r="C179" s="183"/>
      <c r="D179" s="181"/>
      <c r="E179" s="181"/>
      <c r="F179" s="53"/>
      <c r="G179" s="117"/>
      <c r="H179" s="183"/>
    </row>
    <row r="180" spans="2:9" s="154" customFormat="1" ht="17.25" customHeight="1" x14ac:dyDescent="0.25">
      <c r="B180" s="191" t="s">
        <v>795</v>
      </c>
      <c r="C180" s="241" t="s">
        <v>4003</v>
      </c>
      <c r="D180" s="120">
        <f>+D181+D210+D220</f>
        <v>18106015600</v>
      </c>
      <c r="E180" s="185">
        <f>+E181+E210+E220</f>
        <v>17211194521</v>
      </c>
      <c r="F180" s="186">
        <f>+E180/D180*100</f>
        <v>95.057879664038296</v>
      </c>
      <c r="G180" s="114">
        <f>+F180</f>
        <v>95.057879664038296</v>
      </c>
      <c r="H180" s="188"/>
      <c r="I180" s="324"/>
    </row>
    <row r="181" spans="2:9" s="154" customFormat="1" ht="17.25" customHeight="1" x14ac:dyDescent="0.25">
      <c r="B181" s="222"/>
      <c r="C181" s="180" t="s">
        <v>150</v>
      </c>
      <c r="D181" s="125">
        <v>9206015600</v>
      </c>
      <c r="E181" s="574">
        <f>E182+E187+E189+E192+E196+E200+E205</f>
        <v>8445802846</v>
      </c>
      <c r="F181" s="195">
        <f t="shared" ref="F181:F208" si="8">E181/D181*100</f>
        <v>91.742217404020039</v>
      </c>
      <c r="G181" s="114">
        <f>(G182+G187+G189+G192+G196+G200+G205)/7</f>
        <v>42.386291990693643</v>
      </c>
      <c r="H181" s="188"/>
    </row>
    <row r="182" spans="2:9" s="154" customFormat="1" ht="17.25" customHeight="1" x14ac:dyDescent="0.25">
      <c r="B182" s="222"/>
      <c r="C182" s="180" t="s">
        <v>825</v>
      </c>
      <c r="D182" s="125">
        <v>350000000</v>
      </c>
      <c r="E182" s="574">
        <f>SUM(E183:E186)</f>
        <v>235907000</v>
      </c>
      <c r="F182" s="195">
        <f t="shared" si="8"/>
        <v>67.402000000000001</v>
      </c>
      <c r="G182" s="114">
        <f>SUM(G183:G186)/4</f>
        <v>74.411666666666662</v>
      </c>
      <c r="H182" s="188"/>
    </row>
    <row r="183" spans="2:9" ht="17.25" customHeight="1" x14ac:dyDescent="0.25">
      <c r="B183" s="226"/>
      <c r="C183" s="196" t="s">
        <v>826</v>
      </c>
      <c r="D183" s="582">
        <v>75000000</v>
      </c>
      <c r="E183" s="575">
        <v>70623000</v>
      </c>
      <c r="F183" s="116">
        <f t="shared" si="8"/>
        <v>94.164000000000001</v>
      </c>
      <c r="G183" s="117">
        <v>100</v>
      </c>
      <c r="H183" s="183"/>
    </row>
    <row r="184" spans="2:9" ht="17.25" customHeight="1" x14ac:dyDescent="0.25">
      <c r="B184" s="226"/>
      <c r="C184" s="196" t="s">
        <v>827</v>
      </c>
      <c r="D184" s="582">
        <v>100000000</v>
      </c>
      <c r="E184" s="575">
        <v>92049000</v>
      </c>
      <c r="F184" s="116">
        <f t="shared" si="8"/>
        <v>92.049000000000007</v>
      </c>
      <c r="G184" s="117">
        <v>100</v>
      </c>
      <c r="H184" s="183"/>
    </row>
    <row r="185" spans="2:9" ht="17.25" customHeight="1" x14ac:dyDescent="0.25">
      <c r="B185" s="226"/>
      <c r="C185" s="196" t="s">
        <v>828</v>
      </c>
      <c r="D185" s="582">
        <v>100000000</v>
      </c>
      <c r="E185" s="575"/>
      <c r="F185" s="116">
        <f t="shared" si="8"/>
        <v>0</v>
      </c>
      <c r="G185" s="117"/>
      <c r="H185" s="183"/>
    </row>
    <row r="186" spans="2:9" ht="17.25" customHeight="1" x14ac:dyDescent="0.25">
      <c r="B186" s="226"/>
      <c r="C186" s="196" t="s">
        <v>829</v>
      </c>
      <c r="D186" s="582">
        <v>75000000</v>
      </c>
      <c r="E186" s="575">
        <v>73235000</v>
      </c>
      <c r="F186" s="116">
        <f t="shared" si="8"/>
        <v>97.646666666666675</v>
      </c>
      <c r="G186" s="117">
        <f>+F186</f>
        <v>97.646666666666675</v>
      </c>
      <c r="H186" s="183"/>
    </row>
    <row r="187" spans="2:9" s="154" customFormat="1" ht="17.25" customHeight="1" x14ac:dyDescent="0.25">
      <c r="B187" s="222"/>
      <c r="C187" s="180" t="s">
        <v>156</v>
      </c>
      <c r="D187" s="125">
        <v>4000000000</v>
      </c>
      <c r="E187" s="574">
        <f>E188</f>
        <v>3972841846</v>
      </c>
      <c r="F187" s="195">
        <f t="shared" si="8"/>
        <v>99.321046150000001</v>
      </c>
      <c r="G187" s="114">
        <v>20</v>
      </c>
      <c r="H187" s="188"/>
    </row>
    <row r="188" spans="2:9" ht="17.25" customHeight="1" x14ac:dyDescent="0.25">
      <c r="B188" s="226"/>
      <c r="C188" s="196" t="s">
        <v>830</v>
      </c>
      <c r="D188" s="582">
        <v>4000000000</v>
      </c>
      <c r="E188" s="575">
        <v>3972841846</v>
      </c>
      <c r="F188" s="116">
        <f t="shared" si="8"/>
        <v>99.321046150000001</v>
      </c>
      <c r="G188" s="117">
        <v>40</v>
      </c>
      <c r="H188" s="183"/>
    </row>
    <row r="189" spans="2:9" s="154" customFormat="1" ht="17.25" customHeight="1" x14ac:dyDescent="0.25">
      <c r="B189" s="222"/>
      <c r="C189" s="180" t="s">
        <v>166</v>
      </c>
      <c r="D189" s="125">
        <v>1850000000</v>
      </c>
      <c r="E189" s="574">
        <f>SUM(E190:E191)</f>
        <v>1698214000</v>
      </c>
      <c r="F189" s="195">
        <f t="shared" si="8"/>
        <v>91.795351351351357</v>
      </c>
      <c r="G189" s="114">
        <v>42.5</v>
      </c>
      <c r="H189" s="188"/>
    </row>
    <row r="190" spans="2:9" ht="17.25" customHeight="1" x14ac:dyDescent="0.25">
      <c r="B190" s="222"/>
      <c r="C190" s="196" t="s">
        <v>831</v>
      </c>
      <c r="D190" s="582">
        <v>1500000000</v>
      </c>
      <c r="E190" s="575">
        <v>1499319000</v>
      </c>
      <c r="F190" s="116">
        <f t="shared" si="8"/>
        <v>99.954599999999999</v>
      </c>
      <c r="G190" s="117">
        <v>85</v>
      </c>
      <c r="H190" s="183"/>
    </row>
    <row r="191" spans="2:9" ht="17.25" customHeight="1" x14ac:dyDescent="0.25">
      <c r="B191" s="226"/>
      <c r="C191" s="196" t="s">
        <v>832</v>
      </c>
      <c r="D191" s="582">
        <v>350000000</v>
      </c>
      <c r="E191" s="575">
        <v>198895000</v>
      </c>
      <c r="F191" s="116">
        <f t="shared" si="8"/>
        <v>56.827142857142853</v>
      </c>
      <c r="G191" s="117"/>
      <c r="H191" s="183"/>
    </row>
    <row r="192" spans="2:9" s="154" customFormat="1" ht="17.25" customHeight="1" x14ac:dyDescent="0.25">
      <c r="B192" s="222"/>
      <c r="C192" s="180" t="s">
        <v>175</v>
      </c>
      <c r="D192" s="125">
        <v>450000000</v>
      </c>
      <c r="E192" s="574">
        <f>SUM(E193:E195)</f>
        <v>431825000</v>
      </c>
      <c r="F192" s="195">
        <f t="shared" si="8"/>
        <v>95.961111111111109</v>
      </c>
      <c r="G192" s="114">
        <f>SUM(G193:G195)/3</f>
        <v>66.666666666666671</v>
      </c>
      <c r="H192" s="188"/>
    </row>
    <row r="193" spans="2:8" ht="17.25" customHeight="1" x14ac:dyDescent="0.25">
      <c r="B193" s="226"/>
      <c r="C193" s="196" t="s">
        <v>833</v>
      </c>
      <c r="D193" s="582">
        <v>100000000</v>
      </c>
      <c r="E193" s="575">
        <v>100000000</v>
      </c>
      <c r="F193" s="116">
        <f t="shared" si="8"/>
        <v>100</v>
      </c>
      <c r="G193" s="117">
        <v>100</v>
      </c>
      <c r="H193" s="183"/>
    </row>
    <row r="194" spans="2:8" ht="17.25" customHeight="1" x14ac:dyDescent="0.25">
      <c r="B194" s="226"/>
      <c r="C194" s="196" t="s">
        <v>834</v>
      </c>
      <c r="D194" s="582">
        <v>100000000</v>
      </c>
      <c r="E194" s="575">
        <v>81825000</v>
      </c>
      <c r="F194" s="116">
        <f t="shared" si="8"/>
        <v>81.825000000000003</v>
      </c>
      <c r="G194" s="117"/>
      <c r="H194" s="183"/>
    </row>
    <row r="195" spans="2:8" ht="17.25" customHeight="1" x14ac:dyDescent="0.25">
      <c r="B195" s="234"/>
      <c r="C195" s="196" t="s">
        <v>835</v>
      </c>
      <c r="D195" s="582">
        <v>250000000</v>
      </c>
      <c r="E195" s="575">
        <v>250000000</v>
      </c>
      <c r="F195" s="116">
        <f t="shared" si="8"/>
        <v>100</v>
      </c>
      <c r="G195" s="117">
        <v>100</v>
      </c>
      <c r="H195" s="183"/>
    </row>
    <row r="196" spans="2:8" s="154" customFormat="1" ht="17.25" customHeight="1" x14ac:dyDescent="0.25">
      <c r="B196" s="222"/>
      <c r="C196" s="180" t="s">
        <v>177</v>
      </c>
      <c r="D196" s="125">
        <v>1075000000</v>
      </c>
      <c r="E196" s="574">
        <f>SUM(E197:E199)</f>
        <v>916285000</v>
      </c>
      <c r="F196" s="195">
        <f t="shared" si="8"/>
        <v>85.235813953488375</v>
      </c>
      <c r="G196" s="114">
        <v>26.753488379299998</v>
      </c>
      <c r="H196" s="188"/>
    </row>
    <row r="197" spans="2:8" ht="17.25" customHeight="1" x14ac:dyDescent="0.25">
      <c r="B197" s="226"/>
      <c r="C197" s="196" t="s">
        <v>836</v>
      </c>
      <c r="D197" s="582">
        <v>500000000</v>
      </c>
      <c r="E197" s="575">
        <v>489850000</v>
      </c>
      <c r="F197" s="116">
        <f t="shared" si="8"/>
        <v>97.97</v>
      </c>
      <c r="G197" s="117"/>
      <c r="H197" s="183"/>
    </row>
    <row r="198" spans="2:8" ht="33" customHeight="1" x14ac:dyDescent="0.25">
      <c r="B198" s="226"/>
      <c r="C198" s="674" t="s">
        <v>837</v>
      </c>
      <c r="D198" s="582">
        <v>75000000</v>
      </c>
      <c r="E198" s="575">
        <v>72600000</v>
      </c>
      <c r="F198" s="116">
        <f t="shared" si="8"/>
        <v>96.8</v>
      </c>
      <c r="G198" s="117">
        <v>100</v>
      </c>
      <c r="H198" s="183"/>
    </row>
    <row r="199" spans="2:8" ht="17.25" customHeight="1" x14ac:dyDescent="0.25">
      <c r="B199" s="226"/>
      <c r="C199" s="196" t="s">
        <v>838</v>
      </c>
      <c r="D199" s="582">
        <v>500000000</v>
      </c>
      <c r="E199" s="575">
        <v>353835000</v>
      </c>
      <c r="F199" s="116">
        <f t="shared" si="8"/>
        <v>70.766999999999996</v>
      </c>
      <c r="G199" s="117"/>
      <c r="H199" s="183"/>
    </row>
    <row r="200" spans="2:8" s="154" customFormat="1" ht="17.25" customHeight="1" x14ac:dyDescent="0.25">
      <c r="B200" s="390"/>
      <c r="C200" s="180" t="s">
        <v>182</v>
      </c>
      <c r="D200" s="125">
        <v>906015600</v>
      </c>
      <c r="E200" s="574">
        <f>SUM(E201:E204)</f>
        <v>654980000</v>
      </c>
      <c r="F200" s="195">
        <f t="shared" si="8"/>
        <v>72.292353464995529</v>
      </c>
      <c r="G200" s="114">
        <f>SUM(G201:G204)/4</f>
        <v>40.5</v>
      </c>
      <c r="H200" s="188"/>
    </row>
    <row r="201" spans="2:8" ht="17.25" customHeight="1" x14ac:dyDescent="0.25">
      <c r="B201" s="226"/>
      <c r="C201" s="196" t="s">
        <v>839</v>
      </c>
      <c r="D201" s="582">
        <v>200000000</v>
      </c>
      <c r="E201" s="575">
        <v>199875000</v>
      </c>
      <c r="F201" s="116">
        <f t="shared" si="8"/>
        <v>99.9375</v>
      </c>
      <c r="G201" s="117"/>
      <c r="H201" s="183"/>
    </row>
    <row r="202" spans="2:8" ht="17.25" customHeight="1" x14ac:dyDescent="0.25">
      <c r="B202" s="226"/>
      <c r="C202" s="196" t="s">
        <v>840</v>
      </c>
      <c r="D202" s="582">
        <v>75000000</v>
      </c>
      <c r="E202" s="575">
        <v>74800000</v>
      </c>
      <c r="F202" s="116">
        <f t="shared" si="8"/>
        <v>99.733333333333334</v>
      </c>
      <c r="G202" s="117">
        <v>67</v>
      </c>
      <c r="H202" s="183"/>
    </row>
    <row r="203" spans="2:8" ht="17.25" customHeight="1" x14ac:dyDescent="0.25">
      <c r="B203" s="226"/>
      <c r="C203" s="196" t="s">
        <v>841</v>
      </c>
      <c r="D203" s="582">
        <v>200000000</v>
      </c>
      <c r="E203" s="575">
        <v>199275000</v>
      </c>
      <c r="F203" s="116">
        <f t="shared" si="8"/>
        <v>99.637500000000003</v>
      </c>
      <c r="G203" s="117">
        <v>80</v>
      </c>
      <c r="H203" s="183"/>
    </row>
    <row r="204" spans="2:8" ht="17.25" customHeight="1" x14ac:dyDescent="0.25">
      <c r="B204" s="226"/>
      <c r="C204" s="196" t="s">
        <v>842</v>
      </c>
      <c r="D204" s="582">
        <v>431015600</v>
      </c>
      <c r="E204" s="575">
        <v>181030000</v>
      </c>
      <c r="F204" s="116">
        <f t="shared" si="8"/>
        <v>42.000799971045133</v>
      </c>
      <c r="G204" s="117">
        <v>15</v>
      </c>
      <c r="H204" s="183"/>
    </row>
    <row r="205" spans="2:8" s="154" customFormat="1" ht="17.25" customHeight="1" x14ac:dyDescent="0.25">
      <c r="B205" s="222"/>
      <c r="C205" s="180" t="s">
        <v>843</v>
      </c>
      <c r="D205" s="125">
        <v>575000000</v>
      </c>
      <c r="E205" s="574">
        <f>SUM(E206:E208)</f>
        <v>535750000</v>
      </c>
      <c r="F205" s="195">
        <f t="shared" si="8"/>
        <v>93.173913043478265</v>
      </c>
      <c r="G205" s="114">
        <f>SUM(G206:G208)/3</f>
        <v>25.872222222222224</v>
      </c>
      <c r="H205" s="188"/>
    </row>
    <row r="206" spans="2:8" ht="17.25" customHeight="1" x14ac:dyDescent="0.25">
      <c r="B206" s="226"/>
      <c r="C206" s="196" t="s">
        <v>844</v>
      </c>
      <c r="D206" s="582">
        <v>100000000</v>
      </c>
      <c r="E206" s="575">
        <v>99950000</v>
      </c>
      <c r="F206" s="116">
        <f t="shared" si="8"/>
        <v>99.95</v>
      </c>
      <c r="G206" s="117" t="s">
        <v>4029</v>
      </c>
      <c r="H206" s="183"/>
    </row>
    <row r="207" spans="2:8" ht="17.25" customHeight="1" x14ac:dyDescent="0.25">
      <c r="B207" s="226"/>
      <c r="C207" s="196" t="s">
        <v>845</v>
      </c>
      <c r="D207" s="582">
        <v>325000000</v>
      </c>
      <c r="E207" s="575">
        <v>320000000</v>
      </c>
      <c r="F207" s="116">
        <f t="shared" si="8"/>
        <v>98.461538461538467</v>
      </c>
      <c r="G207" s="117"/>
      <c r="H207" s="183"/>
    </row>
    <row r="208" spans="2:8" ht="17.25" customHeight="1" x14ac:dyDescent="0.25">
      <c r="B208" s="226"/>
      <c r="C208" s="196" t="s">
        <v>846</v>
      </c>
      <c r="D208" s="582">
        <v>150000000</v>
      </c>
      <c r="E208" s="575">
        <v>115800000</v>
      </c>
      <c r="F208" s="116">
        <f t="shared" si="8"/>
        <v>77.2</v>
      </c>
      <c r="G208" s="117">
        <v>77.616666666666674</v>
      </c>
      <c r="H208" s="183"/>
    </row>
    <row r="209" spans="2:8" ht="17.25" customHeight="1" x14ac:dyDescent="0.25">
      <c r="B209" s="226"/>
      <c r="C209" s="196"/>
      <c r="D209" s="582"/>
      <c r="E209" s="116"/>
      <c r="F209" s="116"/>
      <c r="G209" s="117"/>
      <c r="H209" s="183"/>
    </row>
    <row r="210" spans="2:8" s="154" customFormat="1" ht="17.25" customHeight="1" x14ac:dyDescent="0.25">
      <c r="B210" s="222"/>
      <c r="C210" s="180" t="s">
        <v>847</v>
      </c>
      <c r="D210" s="125">
        <v>7700000000</v>
      </c>
      <c r="E210" s="574">
        <f>E211+E213+E215+E217</f>
        <v>7686271675</v>
      </c>
      <c r="F210" s="764">
        <f t="shared" ref="F210:F218" si="9">E210/D210*100</f>
        <v>99.821710064935061</v>
      </c>
      <c r="G210" s="110">
        <f t="shared" ref="G210:G218" si="10">E210/D210*F210</f>
        <v>99.643738002879587</v>
      </c>
      <c r="H210" s="188"/>
    </row>
    <row r="211" spans="2:8" s="154" customFormat="1" ht="17.25" customHeight="1" x14ac:dyDescent="0.25">
      <c r="B211" s="222"/>
      <c r="C211" s="180" t="s">
        <v>166</v>
      </c>
      <c r="D211" s="125">
        <v>700000000</v>
      </c>
      <c r="E211" s="574">
        <f>E212</f>
        <v>698850000</v>
      </c>
      <c r="F211" s="764">
        <f t="shared" si="9"/>
        <v>99.835714285714289</v>
      </c>
      <c r="G211" s="110">
        <f t="shared" si="10"/>
        <v>99.671698469387749</v>
      </c>
      <c r="H211" s="188"/>
    </row>
    <row r="212" spans="2:8" ht="17.25" customHeight="1" x14ac:dyDescent="0.25">
      <c r="B212" s="222"/>
      <c r="C212" s="196" t="s">
        <v>848</v>
      </c>
      <c r="D212" s="582">
        <v>700000000</v>
      </c>
      <c r="E212" s="575">
        <v>698850000</v>
      </c>
      <c r="F212" s="691">
        <f t="shared" si="9"/>
        <v>99.835714285714289</v>
      </c>
      <c r="G212" s="235">
        <f t="shared" si="10"/>
        <v>99.671698469387749</v>
      </c>
      <c r="H212" s="183"/>
    </row>
    <row r="213" spans="2:8" s="154" customFormat="1" ht="17.25" customHeight="1" x14ac:dyDescent="0.25">
      <c r="B213" s="222"/>
      <c r="C213" s="180" t="s">
        <v>156</v>
      </c>
      <c r="D213" s="125">
        <v>2500000000</v>
      </c>
      <c r="E213" s="574">
        <f>E214</f>
        <v>2498983508</v>
      </c>
      <c r="F213" s="764">
        <f t="shared" si="9"/>
        <v>99.959340319999995</v>
      </c>
      <c r="G213" s="110">
        <f t="shared" si="10"/>
        <v>99.918697172095776</v>
      </c>
      <c r="H213" s="188"/>
    </row>
    <row r="214" spans="2:8" ht="17.25" customHeight="1" x14ac:dyDescent="0.25">
      <c r="B214" s="226"/>
      <c r="C214" s="196" t="s">
        <v>849</v>
      </c>
      <c r="D214" s="582">
        <v>2500000000</v>
      </c>
      <c r="E214" s="575">
        <v>2498983508</v>
      </c>
      <c r="F214" s="691">
        <f t="shared" si="9"/>
        <v>99.959340319999995</v>
      </c>
      <c r="G214" s="235">
        <f t="shared" si="10"/>
        <v>99.918697172095776</v>
      </c>
      <c r="H214" s="183"/>
    </row>
    <row r="215" spans="2:8" s="154" customFormat="1" ht="17.25" customHeight="1" x14ac:dyDescent="0.25">
      <c r="B215" s="390"/>
      <c r="C215" s="180" t="s">
        <v>850</v>
      </c>
      <c r="D215" s="125">
        <v>500000000</v>
      </c>
      <c r="E215" s="574">
        <f>E216</f>
        <v>499567657</v>
      </c>
      <c r="F215" s="764">
        <f t="shared" si="9"/>
        <v>99.913531399999997</v>
      </c>
      <c r="G215" s="110">
        <f t="shared" si="10"/>
        <v>99.827137568187851</v>
      </c>
      <c r="H215" s="188"/>
    </row>
    <row r="216" spans="2:8" ht="17.25" customHeight="1" x14ac:dyDescent="0.25">
      <c r="B216" s="222"/>
      <c r="C216" s="196" t="s">
        <v>851</v>
      </c>
      <c r="D216" s="582">
        <v>500000000</v>
      </c>
      <c r="E216" s="575">
        <v>499567657</v>
      </c>
      <c r="F216" s="691">
        <f t="shared" si="9"/>
        <v>99.913531399999997</v>
      </c>
      <c r="G216" s="235">
        <f t="shared" si="10"/>
        <v>99.827137568187851</v>
      </c>
      <c r="H216" s="183"/>
    </row>
    <row r="217" spans="2:8" s="154" customFormat="1" ht="17.25" customHeight="1" x14ac:dyDescent="0.25">
      <c r="B217" s="222"/>
      <c r="C217" s="180" t="s">
        <v>177</v>
      </c>
      <c r="D217" s="125">
        <v>4000000000</v>
      </c>
      <c r="E217" s="574">
        <f>E218</f>
        <v>3988870510</v>
      </c>
      <c r="F217" s="764">
        <f t="shared" si="9"/>
        <v>99.721762749999996</v>
      </c>
      <c r="G217" s="110">
        <f t="shared" si="10"/>
        <v>99.444299659672865</v>
      </c>
      <c r="H217" s="188"/>
    </row>
    <row r="218" spans="2:8" ht="17.25" customHeight="1" x14ac:dyDescent="0.25">
      <c r="B218" s="222"/>
      <c r="C218" s="196" t="s">
        <v>852</v>
      </c>
      <c r="D218" s="582">
        <v>4000000000</v>
      </c>
      <c r="E218" s="575">
        <v>3988870510</v>
      </c>
      <c r="F218" s="691">
        <f t="shared" si="9"/>
        <v>99.721762749999996</v>
      </c>
      <c r="G218" s="235">
        <f t="shared" si="10"/>
        <v>99.444299659672865</v>
      </c>
      <c r="H218" s="183"/>
    </row>
    <row r="219" spans="2:8" ht="17.25" customHeight="1" x14ac:dyDescent="0.25">
      <c r="B219" s="222"/>
      <c r="C219" s="196"/>
      <c r="D219" s="582"/>
      <c r="E219" s="582"/>
      <c r="F219" s="116"/>
      <c r="G219" s="117"/>
      <c r="H219" s="183"/>
    </row>
    <row r="220" spans="2:8" s="154" customFormat="1" ht="17.25" customHeight="1" x14ac:dyDescent="0.25">
      <c r="B220" s="222"/>
      <c r="C220" s="48" t="s">
        <v>876</v>
      </c>
      <c r="D220" s="125">
        <v>1200000000</v>
      </c>
      <c r="E220" s="574">
        <f>E221</f>
        <v>1079120000</v>
      </c>
      <c r="F220" s="764">
        <f t="shared" ref="F220:F238" si="11">E220/D220*100</f>
        <v>89.926666666666662</v>
      </c>
      <c r="G220" s="110">
        <f t="shared" ref="G220:G238" si="12">E220/D220*F220</f>
        <v>80.868053777777774</v>
      </c>
      <c r="H220" s="188"/>
    </row>
    <row r="221" spans="2:8" s="154" customFormat="1" ht="17.25" customHeight="1" x14ac:dyDescent="0.25">
      <c r="B221" s="222"/>
      <c r="C221" s="48" t="s">
        <v>298</v>
      </c>
      <c r="D221" s="125">
        <v>1200000000</v>
      </c>
      <c r="E221" s="574">
        <f>E222+E225+E229+E232+E235+E237</f>
        <v>1079120000</v>
      </c>
      <c r="F221" s="764">
        <f t="shared" si="11"/>
        <v>89.926666666666662</v>
      </c>
      <c r="G221" s="110">
        <f t="shared" si="12"/>
        <v>80.868053777777774</v>
      </c>
      <c r="H221" s="188"/>
    </row>
    <row r="222" spans="2:8" s="154" customFormat="1" ht="17.25" customHeight="1" x14ac:dyDescent="0.25">
      <c r="B222" s="222"/>
      <c r="C222" s="48" t="s">
        <v>299</v>
      </c>
      <c r="D222" s="125">
        <v>250000000</v>
      </c>
      <c r="E222" s="574">
        <f>E223+E224</f>
        <v>160000000</v>
      </c>
      <c r="F222" s="764">
        <f t="shared" si="11"/>
        <v>64</v>
      </c>
      <c r="G222" s="110">
        <f t="shared" si="12"/>
        <v>40.96</v>
      </c>
      <c r="H222" s="188"/>
    </row>
    <row r="223" spans="2:8" ht="27" customHeight="1" x14ac:dyDescent="0.25">
      <c r="B223" s="222"/>
      <c r="C223" s="119" t="s">
        <v>877</v>
      </c>
      <c r="D223" s="582">
        <v>150000000</v>
      </c>
      <c r="E223" s="575">
        <v>150000000</v>
      </c>
      <c r="F223" s="691">
        <f t="shared" si="11"/>
        <v>100</v>
      </c>
      <c r="G223" s="235">
        <f t="shared" si="12"/>
        <v>100</v>
      </c>
      <c r="H223" s="183"/>
    </row>
    <row r="224" spans="2:8" ht="36" customHeight="1" x14ac:dyDescent="0.25">
      <c r="B224" s="222"/>
      <c r="C224" s="119" t="s">
        <v>878</v>
      </c>
      <c r="D224" s="582">
        <v>100000000</v>
      </c>
      <c r="E224" s="575">
        <v>10000000</v>
      </c>
      <c r="F224" s="691">
        <f t="shared" si="11"/>
        <v>10</v>
      </c>
      <c r="G224" s="235">
        <f t="shared" si="12"/>
        <v>1</v>
      </c>
      <c r="H224" s="183"/>
    </row>
    <row r="225" spans="2:8" s="154" customFormat="1" ht="17.25" customHeight="1" x14ac:dyDescent="0.25">
      <c r="B225" s="222"/>
      <c r="C225" s="217" t="s">
        <v>343</v>
      </c>
      <c r="D225" s="125">
        <v>250000000</v>
      </c>
      <c r="E225" s="574">
        <f>SUM(E226:E228)</f>
        <v>237120000</v>
      </c>
      <c r="F225" s="764">
        <f t="shared" si="11"/>
        <v>94.847999999999999</v>
      </c>
      <c r="G225" s="110">
        <f t="shared" si="12"/>
        <v>89.961431039999994</v>
      </c>
      <c r="H225" s="188"/>
    </row>
    <row r="226" spans="2:8" ht="17.25" customHeight="1" x14ac:dyDescent="0.25">
      <c r="B226" s="222"/>
      <c r="C226" s="32" t="s">
        <v>879</v>
      </c>
      <c r="D226" s="582">
        <v>100000000</v>
      </c>
      <c r="E226" s="575">
        <v>94150000</v>
      </c>
      <c r="F226" s="691">
        <f t="shared" si="11"/>
        <v>94.15</v>
      </c>
      <c r="G226" s="235">
        <f t="shared" si="12"/>
        <v>88.64222500000001</v>
      </c>
      <c r="H226" s="183"/>
    </row>
    <row r="227" spans="2:8" ht="17.25" customHeight="1" x14ac:dyDescent="0.25">
      <c r="B227" s="222"/>
      <c r="C227" s="32" t="s">
        <v>880</v>
      </c>
      <c r="D227" s="582">
        <v>100000000</v>
      </c>
      <c r="E227" s="575">
        <v>92970000</v>
      </c>
      <c r="F227" s="691">
        <f t="shared" si="11"/>
        <v>92.97</v>
      </c>
      <c r="G227" s="235">
        <f t="shared" si="12"/>
        <v>86.434208999999996</v>
      </c>
      <c r="H227" s="183"/>
    </row>
    <row r="228" spans="2:8" ht="17.25" customHeight="1" x14ac:dyDescent="0.25">
      <c r="B228" s="222"/>
      <c r="C228" s="32" t="s">
        <v>881</v>
      </c>
      <c r="D228" s="582">
        <v>50000000</v>
      </c>
      <c r="E228" s="575">
        <v>50000000</v>
      </c>
      <c r="F228" s="691">
        <f t="shared" si="11"/>
        <v>100</v>
      </c>
      <c r="G228" s="235">
        <f t="shared" si="12"/>
        <v>100</v>
      </c>
      <c r="H228" s="183"/>
    </row>
    <row r="229" spans="2:8" s="154" customFormat="1" ht="17.25" customHeight="1" x14ac:dyDescent="0.25">
      <c r="B229" s="222"/>
      <c r="C229" s="48" t="s">
        <v>882</v>
      </c>
      <c r="D229" s="125">
        <v>150000000</v>
      </c>
      <c r="E229" s="574">
        <f>SUM(E230:E231)</f>
        <v>150000000</v>
      </c>
      <c r="F229" s="764">
        <f t="shared" si="11"/>
        <v>100</v>
      </c>
      <c r="G229" s="110">
        <f t="shared" si="12"/>
        <v>100</v>
      </c>
      <c r="H229" s="188"/>
    </row>
    <row r="230" spans="2:8" ht="33.75" customHeight="1" x14ac:dyDescent="0.25">
      <c r="B230" s="222"/>
      <c r="C230" s="119" t="s">
        <v>883</v>
      </c>
      <c r="D230" s="582">
        <v>75000000</v>
      </c>
      <c r="E230" s="575">
        <v>75000000</v>
      </c>
      <c r="F230" s="691">
        <f t="shared" si="11"/>
        <v>100</v>
      </c>
      <c r="G230" s="235">
        <f t="shared" si="12"/>
        <v>100</v>
      </c>
      <c r="H230" s="183"/>
    </row>
    <row r="231" spans="2:8" ht="29.25" customHeight="1" x14ac:dyDescent="0.25">
      <c r="B231" s="222"/>
      <c r="C231" s="119" t="s">
        <v>884</v>
      </c>
      <c r="D231" s="582">
        <v>75000000</v>
      </c>
      <c r="E231" s="575">
        <v>75000000</v>
      </c>
      <c r="F231" s="691">
        <f t="shared" si="11"/>
        <v>100</v>
      </c>
      <c r="G231" s="235">
        <f t="shared" si="12"/>
        <v>100</v>
      </c>
      <c r="H231" s="183"/>
    </row>
    <row r="232" spans="2:8" s="154" customFormat="1" ht="15" customHeight="1" x14ac:dyDescent="0.25">
      <c r="B232" s="222"/>
      <c r="C232" s="48" t="s">
        <v>744</v>
      </c>
      <c r="D232" s="125">
        <v>350000000</v>
      </c>
      <c r="E232" s="574">
        <f>SUM(E233:E234)</f>
        <v>350000000</v>
      </c>
      <c r="F232" s="764">
        <f t="shared" si="11"/>
        <v>100</v>
      </c>
      <c r="G232" s="110">
        <f t="shared" si="12"/>
        <v>100</v>
      </c>
      <c r="H232" s="188"/>
    </row>
    <row r="233" spans="2:8" ht="17.25" customHeight="1" x14ac:dyDescent="0.25">
      <c r="B233" s="222"/>
      <c r="C233" s="32" t="s">
        <v>885</v>
      </c>
      <c r="D233" s="582">
        <v>150000000</v>
      </c>
      <c r="E233" s="575">
        <v>150000000</v>
      </c>
      <c r="F233" s="691">
        <f t="shared" si="11"/>
        <v>100</v>
      </c>
      <c r="G233" s="235">
        <f t="shared" si="12"/>
        <v>100</v>
      </c>
      <c r="H233" s="183"/>
    </row>
    <row r="234" spans="2:8" ht="17.25" customHeight="1" x14ac:dyDescent="0.25">
      <c r="B234" s="222"/>
      <c r="C234" s="32" t="s">
        <v>886</v>
      </c>
      <c r="D234" s="582">
        <v>200000000</v>
      </c>
      <c r="E234" s="575">
        <v>200000000</v>
      </c>
      <c r="F234" s="691">
        <f t="shared" si="11"/>
        <v>100</v>
      </c>
      <c r="G234" s="235">
        <f t="shared" si="12"/>
        <v>100</v>
      </c>
      <c r="H234" s="183"/>
    </row>
    <row r="235" spans="2:8" s="154" customFormat="1" ht="17.25" customHeight="1" x14ac:dyDescent="0.25">
      <c r="B235" s="222"/>
      <c r="C235" s="48" t="s">
        <v>182</v>
      </c>
      <c r="D235" s="125">
        <v>100000000</v>
      </c>
      <c r="E235" s="574">
        <f>E236</f>
        <v>100000000</v>
      </c>
      <c r="F235" s="764">
        <f t="shared" si="11"/>
        <v>100</v>
      </c>
      <c r="G235" s="110">
        <f t="shared" si="12"/>
        <v>100</v>
      </c>
      <c r="H235" s="188"/>
    </row>
    <row r="236" spans="2:8" ht="17.25" customHeight="1" x14ac:dyDescent="0.25">
      <c r="B236" s="222"/>
      <c r="C236" s="32" t="s">
        <v>887</v>
      </c>
      <c r="D236" s="582">
        <v>100000000</v>
      </c>
      <c r="E236" s="575">
        <v>100000000</v>
      </c>
      <c r="F236" s="691">
        <f t="shared" si="11"/>
        <v>100</v>
      </c>
      <c r="G236" s="235">
        <f t="shared" si="12"/>
        <v>100</v>
      </c>
      <c r="H236" s="183"/>
    </row>
    <row r="237" spans="2:8" s="154" customFormat="1" ht="17.25" customHeight="1" x14ac:dyDescent="0.25">
      <c r="B237" s="222"/>
      <c r="C237" s="48" t="s">
        <v>843</v>
      </c>
      <c r="D237" s="125">
        <v>100000000</v>
      </c>
      <c r="E237" s="574">
        <f>E238</f>
        <v>82000000</v>
      </c>
      <c r="F237" s="764">
        <f t="shared" si="11"/>
        <v>82</v>
      </c>
      <c r="G237" s="110">
        <f t="shared" si="12"/>
        <v>67.239999999999995</v>
      </c>
      <c r="H237" s="188"/>
    </row>
    <row r="238" spans="2:8" ht="17.25" customHeight="1" x14ac:dyDescent="0.25">
      <c r="B238" s="222"/>
      <c r="C238" s="32" t="s">
        <v>888</v>
      </c>
      <c r="D238" s="582">
        <v>100000000</v>
      </c>
      <c r="E238" s="575">
        <v>82000000</v>
      </c>
      <c r="F238" s="691">
        <f t="shared" si="11"/>
        <v>82</v>
      </c>
      <c r="G238" s="235">
        <f t="shared" si="12"/>
        <v>67.239999999999995</v>
      </c>
      <c r="H238" s="183"/>
    </row>
    <row r="239" spans="2:8" ht="17.25" hidden="1" customHeight="1" x14ac:dyDescent="0.25">
      <c r="B239" s="222"/>
      <c r="C239" s="196"/>
      <c r="D239" s="116"/>
      <c r="E239" s="116"/>
      <c r="F239" s="116"/>
      <c r="G239" s="117"/>
      <c r="H239" s="183"/>
    </row>
    <row r="240" spans="2:8" ht="17.25" customHeight="1" x14ac:dyDescent="0.25">
      <c r="B240" s="179"/>
      <c r="C240" s="181"/>
      <c r="D240" s="116"/>
      <c r="E240" s="116"/>
      <c r="F240" s="116"/>
      <c r="G240" s="117"/>
      <c r="H240" s="183"/>
    </row>
    <row r="241" spans="2:9" ht="17.25" customHeight="1" x14ac:dyDescent="0.25">
      <c r="B241" s="191" t="s">
        <v>975</v>
      </c>
      <c r="C241" s="675" t="s">
        <v>976</v>
      </c>
      <c r="D241" s="120">
        <f>D242+D270</f>
        <v>15537595800</v>
      </c>
      <c r="E241" s="752">
        <f>+E242+E269</f>
        <v>12026188264</v>
      </c>
      <c r="F241" s="670">
        <f>+E241/D241*100</f>
        <v>77.400573543044544</v>
      </c>
      <c r="G241" s="114">
        <f>(G242+G270)/2</f>
        <v>77.908163265306129</v>
      </c>
      <c r="H241" s="183"/>
      <c r="I241" s="324"/>
    </row>
    <row r="242" spans="2:9" ht="17.25" customHeight="1" x14ac:dyDescent="0.25">
      <c r="B242" s="190"/>
      <c r="C242" s="180" t="s">
        <v>1020</v>
      </c>
      <c r="D242" s="112">
        <f>+D243+D251+D254+D256+D258+D264+D267</f>
        <v>13537595800</v>
      </c>
      <c r="E242" s="195">
        <f>+E243+E252+E255+E259+E265+E267</f>
        <v>10036781414</v>
      </c>
      <c r="F242" s="195">
        <f t="shared" ref="F242:F271" si="13">+E242/D242*100</f>
        <v>74.140058266475933</v>
      </c>
      <c r="G242" s="114">
        <f>(G243+G252+G255+G257+G259+G265+G267)/7</f>
        <v>75.816326530612258</v>
      </c>
      <c r="H242" s="183"/>
    </row>
    <row r="243" spans="2:9" ht="17.25" customHeight="1" x14ac:dyDescent="0.25">
      <c r="B243" s="190"/>
      <c r="C243" s="599" t="s">
        <v>1021</v>
      </c>
      <c r="D243" s="541">
        <f>D244+D245+D246+D247+D248+D249+D250</f>
        <v>8652064300</v>
      </c>
      <c r="E243" s="601">
        <v>7918703014</v>
      </c>
      <c r="F243" s="753">
        <f t="shared" si="13"/>
        <v>91.523857653253913</v>
      </c>
      <c r="G243" s="340">
        <f>SUM(G244:G250)/7</f>
        <v>70.714285714285708</v>
      </c>
      <c r="H243" s="183"/>
    </row>
    <row r="244" spans="2:9" ht="33" customHeight="1" x14ac:dyDescent="0.25">
      <c r="B244" s="190"/>
      <c r="C244" s="600" t="s">
        <v>1022</v>
      </c>
      <c r="D244" s="543">
        <v>206357000</v>
      </c>
      <c r="E244" s="602">
        <v>176987000</v>
      </c>
      <c r="F244" s="754">
        <f t="shared" si="13"/>
        <v>85.767383708815302</v>
      </c>
      <c r="G244" s="569">
        <v>40</v>
      </c>
      <c r="H244" s="183"/>
    </row>
    <row r="245" spans="2:9" ht="17.25" customHeight="1" x14ac:dyDescent="0.25">
      <c r="B245" s="190"/>
      <c r="C245" s="600" t="s">
        <v>1023</v>
      </c>
      <c r="D245" s="543">
        <v>964956600</v>
      </c>
      <c r="E245" s="602">
        <v>913916600</v>
      </c>
      <c r="F245" s="754">
        <f t="shared" si="13"/>
        <v>94.710642944978048</v>
      </c>
      <c r="G245" s="569">
        <v>90</v>
      </c>
      <c r="H245" s="183"/>
    </row>
    <row r="246" spans="2:9" ht="17.25" customHeight="1" x14ac:dyDescent="0.25">
      <c r="B246" s="190"/>
      <c r="C246" s="600" t="s">
        <v>1024</v>
      </c>
      <c r="D246" s="543">
        <v>2603450700</v>
      </c>
      <c r="E246" s="602">
        <v>2386465837</v>
      </c>
      <c r="F246" s="754">
        <f t="shared" si="13"/>
        <v>91.665489843921378</v>
      </c>
      <c r="G246" s="569">
        <v>70</v>
      </c>
      <c r="H246" s="183"/>
    </row>
    <row r="247" spans="2:9" ht="17.25" customHeight="1" x14ac:dyDescent="0.25">
      <c r="B247" s="190"/>
      <c r="C247" s="600" t="s">
        <v>1025</v>
      </c>
      <c r="D247" s="543">
        <v>327000000</v>
      </c>
      <c r="E247" s="602">
        <v>327000000</v>
      </c>
      <c r="F247" s="754">
        <f t="shared" si="13"/>
        <v>100</v>
      </c>
      <c r="G247" s="569">
        <v>100</v>
      </c>
      <c r="H247" s="183"/>
    </row>
    <row r="248" spans="2:9" ht="17.25" customHeight="1" x14ac:dyDescent="0.25">
      <c r="B248" s="676"/>
      <c r="C248" s="600" t="s">
        <v>1026</v>
      </c>
      <c r="D248" s="543">
        <v>508000000</v>
      </c>
      <c r="E248" s="602">
        <v>399000000</v>
      </c>
      <c r="F248" s="754">
        <f t="shared" si="13"/>
        <v>78.543307086614178</v>
      </c>
      <c r="G248" s="569">
        <v>55</v>
      </c>
      <c r="H248" s="183"/>
    </row>
    <row r="249" spans="2:9" ht="17.25" customHeight="1" x14ac:dyDescent="0.25">
      <c r="B249" s="190"/>
      <c r="C249" s="600" t="s">
        <v>1027</v>
      </c>
      <c r="D249" s="543">
        <v>3828000000</v>
      </c>
      <c r="E249" s="602">
        <v>3715333577</v>
      </c>
      <c r="F249" s="754">
        <f t="shared" si="13"/>
        <v>97.056781008359465</v>
      </c>
      <c r="G249" s="569">
        <v>80</v>
      </c>
      <c r="H249" s="183"/>
    </row>
    <row r="250" spans="2:9" ht="17.25" customHeight="1" x14ac:dyDescent="0.25">
      <c r="B250" s="190"/>
      <c r="C250" s="600" t="s">
        <v>1028</v>
      </c>
      <c r="D250" s="543">
        <v>214300000</v>
      </c>
      <c r="E250" s="602">
        <v>202250000</v>
      </c>
      <c r="F250" s="754">
        <f t="shared" si="13"/>
        <v>94.377041530564625</v>
      </c>
      <c r="G250" s="569">
        <v>60</v>
      </c>
      <c r="H250" s="183"/>
    </row>
    <row r="251" spans="2:9" ht="17.25" customHeight="1" x14ac:dyDescent="0.25">
      <c r="B251" s="190"/>
      <c r="C251" s="599" t="s">
        <v>1029</v>
      </c>
      <c r="D251" s="541">
        <f>D252+D253</f>
        <v>191235000</v>
      </c>
      <c r="E251" s="541">
        <v>168096000</v>
      </c>
      <c r="F251" s="753">
        <f t="shared" si="13"/>
        <v>87.900227468821086</v>
      </c>
      <c r="G251" s="340">
        <f>SUM(G252:G253)/2</f>
        <v>94</v>
      </c>
      <c r="H251" s="183"/>
    </row>
    <row r="252" spans="2:9" ht="17.25" customHeight="1" x14ac:dyDescent="0.25">
      <c r="B252" s="190"/>
      <c r="C252" s="600" t="s">
        <v>1030</v>
      </c>
      <c r="D252" s="543">
        <v>62586000</v>
      </c>
      <c r="E252" s="544">
        <v>51816000</v>
      </c>
      <c r="F252" s="754">
        <f t="shared" si="13"/>
        <v>82.79167865017736</v>
      </c>
      <c r="G252" s="569">
        <v>90</v>
      </c>
      <c r="H252" s="183"/>
    </row>
    <row r="253" spans="2:9" ht="17.25" customHeight="1" x14ac:dyDescent="0.25">
      <c r="B253" s="190"/>
      <c r="C253" s="600" t="s">
        <v>1031</v>
      </c>
      <c r="D253" s="543">
        <v>128649000</v>
      </c>
      <c r="E253" s="544">
        <v>116280000</v>
      </c>
      <c r="F253" s="754">
        <f t="shared" si="13"/>
        <v>90.385467434647765</v>
      </c>
      <c r="G253" s="569">
        <v>98</v>
      </c>
      <c r="H253" s="183"/>
    </row>
    <row r="254" spans="2:9" ht="17.25" customHeight="1" x14ac:dyDescent="0.25">
      <c r="B254" s="190"/>
      <c r="C254" s="599" t="s">
        <v>1032</v>
      </c>
      <c r="D254" s="541">
        <f>+D255</f>
        <v>483750000</v>
      </c>
      <c r="E254" s="541">
        <v>483750000</v>
      </c>
      <c r="F254" s="753">
        <f t="shared" si="13"/>
        <v>100</v>
      </c>
      <c r="G254" s="340">
        <v>100</v>
      </c>
      <c r="H254" s="183"/>
    </row>
    <row r="255" spans="2:9" s="154" customFormat="1" ht="17.25" customHeight="1" x14ac:dyDescent="0.25">
      <c r="B255" s="191"/>
      <c r="C255" s="600" t="s">
        <v>1033</v>
      </c>
      <c r="D255" s="543">
        <v>483750000</v>
      </c>
      <c r="E255" s="440">
        <v>483750000</v>
      </c>
      <c r="F255" s="754">
        <f t="shared" si="13"/>
        <v>100</v>
      </c>
      <c r="G255" s="569">
        <v>100</v>
      </c>
      <c r="H255" s="188"/>
    </row>
    <row r="256" spans="2:9" ht="17.25" customHeight="1" x14ac:dyDescent="0.25">
      <c r="B256" s="190"/>
      <c r="C256" s="599" t="s">
        <v>1034</v>
      </c>
      <c r="D256" s="541">
        <f>D257</f>
        <v>40625000</v>
      </c>
      <c r="E256" s="601">
        <v>6062500</v>
      </c>
      <c r="F256" s="753">
        <f t="shared" si="13"/>
        <v>14.923076923076922</v>
      </c>
      <c r="G256" s="340">
        <v>60</v>
      </c>
      <c r="H256" s="183"/>
    </row>
    <row r="257" spans="2:8" ht="17.25" customHeight="1" x14ac:dyDescent="0.25">
      <c r="B257" s="190"/>
      <c r="C257" s="600" t="s">
        <v>1035</v>
      </c>
      <c r="D257" s="543">
        <v>40625000</v>
      </c>
      <c r="E257" s="602">
        <v>6062500</v>
      </c>
      <c r="F257" s="754">
        <f t="shared" si="13"/>
        <v>14.923076923076922</v>
      </c>
      <c r="G257" s="569">
        <v>60</v>
      </c>
      <c r="H257" s="183"/>
    </row>
    <row r="258" spans="2:8" ht="17.25" customHeight="1" x14ac:dyDescent="0.25">
      <c r="B258" s="190"/>
      <c r="C258" s="599" t="s">
        <v>1036</v>
      </c>
      <c r="D258" s="541">
        <f>D259+D260+D261+D262+D263</f>
        <v>1744771500</v>
      </c>
      <c r="E258" s="541">
        <v>1419372500</v>
      </c>
      <c r="F258" s="753">
        <f t="shared" si="13"/>
        <v>81.35005070864581</v>
      </c>
      <c r="G258" s="340">
        <f>SUM(G259:G263)/5</f>
        <v>75.400000000000006</v>
      </c>
      <c r="H258" s="183"/>
    </row>
    <row r="259" spans="2:8" ht="17.25" customHeight="1" x14ac:dyDescent="0.25">
      <c r="B259" s="190"/>
      <c r="C259" s="600" t="s">
        <v>1037</v>
      </c>
      <c r="D259" s="543">
        <v>128500000</v>
      </c>
      <c r="E259" s="543">
        <v>128500000</v>
      </c>
      <c r="F259" s="754">
        <f t="shared" si="13"/>
        <v>100</v>
      </c>
      <c r="G259" s="569">
        <v>100</v>
      </c>
      <c r="H259" s="183"/>
    </row>
    <row r="260" spans="2:8" ht="17.25" customHeight="1" x14ac:dyDescent="0.25">
      <c r="B260" s="190"/>
      <c r="C260" s="600" t="s">
        <v>1038</v>
      </c>
      <c r="D260" s="543">
        <v>106220000</v>
      </c>
      <c r="E260" s="543">
        <v>50000000</v>
      </c>
      <c r="F260" s="754">
        <f t="shared" si="13"/>
        <v>47.072114479382414</v>
      </c>
      <c r="G260" s="569">
        <v>50</v>
      </c>
      <c r="H260" s="183"/>
    </row>
    <row r="261" spans="2:8" ht="17.25" customHeight="1" x14ac:dyDescent="0.25">
      <c r="B261" s="190"/>
      <c r="C261" s="600" t="s">
        <v>1039</v>
      </c>
      <c r="D261" s="543">
        <v>493444000</v>
      </c>
      <c r="E261" s="543">
        <v>307705000</v>
      </c>
      <c r="F261" s="754">
        <f t="shared" si="13"/>
        <v>62.358646573876676</v>
      </c>
      <c r="G261" s="569">
        <v>77</v>
      </c>
      <c r="H261" s="183"/>
    </row>
    <row r="262" spans="2:8" ht="17.25" customHeight="1" x14ac:dyDescent="0.25">
      <c r="B262" s="676"/>
      <c r="C262" s="600" t="s">
        <v>1040</v>
      </c>
      <c r="D262" s="543">
        <v>689920000</v>
      </c>
      <c r="E262" s="543">
        <v>606480000</v>
      </c>
      <c r="F262" s="754">
        <f t="shared" si="13"/>
        <v>87.905844155844164</v>
      </c>
      <c r="G262" s="569">
        <v>50</v>
      </c>
      <c r="H262" s="183"/>
    </row>
    <row r="263" spans="2:8" ht="17.25" customHeight="1" x14ac:dyDescent="0.25">
      <c r="B263" s="676"/>
      <c r="C263" s="600" t="s">
        <v>840</v>
      </c>
      <c r="D263" s="543">
        <v>326687500</v>
      </c>
      <c r="E263" s="543">
        <v>326687500</v>
      </c>
      <c r="F263" s="754">
        <f t="shared" si="13"/>
        <v>100</v>
      </c>
      <c r="G263" s="569">
        <v>100</v>
      </c>
      <c r="H263" s="183"/>
    </row>
    <row r="264" spans="2:8" ht="17.25" customHeight="1" x14ac:dyDescent="0.25">
      <c r="B264" s="676"/>
      <c r="C264" s="599" t="s">
        <v>1041</v>
      </c>
      <c r="D264" s="541">
        <f>D265</f>
        <v>1501150000</v>
      </c>
      <c r="E264" s="541">
        <v>714012400</v>
      </c>
      <c r="F264" s="753">
        <f t="shared" si="13"/>
        <v>47.564360656829763</v>
      </c>
      <c r="G264" s="340">
        <v>55</v>
      </c>
      <c r="H264" s="183"/>
    </row>
    <row r="265" spans="2:8" ht="17.25" customHeight="1" x14ac:dyDescent="0.25">
      <c r="B265" s="190"/>
      <c r="C265" s="600" t="s">
        <v>1042</v>
      </c>
      <c r="D265" s="543">
        <v>1501150000</v>
      </c>
      <c r="E265" s="543">
        <v>714012400</v>
      </c>
      <c r="F265" s="754">
        <f t="shared" si="13"/>
        <v>47.564360656829763</v>
      </c>
      <c r="G265" s="569">
        <v>55</v>
      </c>
      <c r="H265" s="183"/>
    </row>
    <row r="266" spans="2:8" ht="17.25" customHeight="1" x14ac:dyDescent="0.25">
      <c r="B266" s="190"/>
      <c r="C266" s="600"/>
      <c r="D266" s="543"/>
      <c r="E266" s="543"/>
      <c r="F266" s="754"/>
      <c r="G266" s="569"/>
      <c r="H266" s="183"/>
    </row>
    <row r="267" spans="2:8" ht="17.25" customHeight="1" x14ac:dyDescent="0.25">
      <c r="B267" s="190"/>
      <c r="C267" s="599" t="s">
        <v>1043</v>
      </c>
      <c r="D267" s="541">
        <v>924000000</v>
      </c>
      <c r="E267" s="541">
        <v>740000000</v>
      </c>
      <c r="F267" s="753">
        <f t="shared" si="13"/>
        <v>80.086580086580085</v>
      </c>
      <c r="G267" s="340">
        <v>55</v>
      </c>
      <c r="H267" s="183"/>
    </row>
    <row r="268" spans="2:8" ht="17.25" customHeight="1" x14ac:dyDescent="0.25">
      <c r="B268" s="190"/>
      <c r="C268" s="600"/>
      <c r="D268" s="543"/>
      <c r="E268" s="544"/>
      <c r="F268" s="754"/>
      <c r="G268" s="569"/>
      <c r="H268" s="183"/>
    </row>
    <row r="269" spans="2:8" ht="17.25" customHeight="1" x14ac:dyDescent="0.25">
      <c r="B269" s="190"/>
      <c r="C269" s="599" t="s">
        <v>1044</v>
      </c>
      <c r="D269" s="541">
        <f>D270</f>
        <v>2000000000</v>
      </c>
      <c r="E269" s="541">
        <v>1989406850</v>
      </c>
      <c r="F269" s="753">
        <f t="shared" si="13"/>
        <v>99.470342500000001</v>
      </c>
      <c r="G269" s="340">
        <v>80</v>
      </c>
      <c r="H269" s="183"/>
    </row>
    <row r="270" spans="2:8" ht="17.25" customHeight="1" x14ac:dyDescent="0.25">
      <c r="B270" s="190"/>
      <c r="C270" s="599" t="s">
        <v>1021</v>
      </c>
      <c r="D270" s="541">
        <f>+D271</f>
        <v>2000000000</v>
      </c>
      <c r="E270" s="541">
        <v>1989406850</v>
      </c>
      <c r="F270" s="753">
        <f t="shared" si="13"/>
        <v>99.470342500000001</v>
      </c>
      <c r="G270" s="340">
        <v>80</v>
      </c>
      <c r="H270" s="183"/>
    </row>
    <row r="271" spans="2:8" ht="17.25" customHeight="1" x14ac:dyDescent="0.25">
      <c r="B271" s="190"/>
      <c r="C271" s="600" t="s">
        <v>1045</v>
      </c>
      <c r="D271" s="543">
        <v>2000000000</v>
      </c>
      <c r="E271" s="544">
        <v>1989406850</v>
      </c>
      <c r="F271" s="754">
        <f t="shared" si="13"/>
        <v>99.470342500000001</v>
      </c>
      <c r="G271" s="569">
        <v>80</v>
      </c>
      <c r="H271" s="183"/>
    </row>
    <row r="272" spans="2:8" ht="17.25" customHeight="1" x14ac:dyDescent="0.25">
      <c r="B272" s="179"/>
      <c r="C272" s="189"/>
      <c r="D272" s="181"/>
      <c r="E272" s="181"/>
      <c r="F272" s="53"/>
      <c r="G272" s="117"/>
      <c r="H272" s="183"/>
    </row>
    <row r="273" spans="2:9" s="80" customFormat="1" ht="17.25" customHeight="1" x14ac:dyDescent="0.25">
      <c r="B273" s="222" t="s">
        <v>1155</v>
      </c>
      <c r="C273" s="605" t="s">
        <v>1156</v>
      </c>
      <c r="D273" s="251">
        <f>+D274+D312+D316+D332+D326</f>
        <v>16438894550</v>
      </c>
      <c r="E273" s="120">
        <f>+E274+E312+E316+E326+E332</f>
        <v>11865109827</v>
      </c>
      <c r="F273" s="195">
        <f>+E273/D273*100</f>
        <v>72.177054186408171</v>
      </c>
      <c r="G273" s="114">
        <f>(G274+G312+G316+G326+G332)/5</f>
        <v>65.844000000000008</v>
      </c>
      <c r="H273" s="111"/>
      <c r="I273" s="324"/>
    </row>
    <row r="274" spans="2:9" s="80" customFormat="1" ht="17.25" customHeight="1" x14ac:dyDescent="0.25">
      <c r="B274" s="226"/>
      <c r="C274" s="608" t="s">
        <v>150</v>
      </c>
      <c r="D274" s="677">
        <v>7903894550</v>
      </c>
      <c r="E274" s="755">
        <v>5915759827</v>
      </c>
      <c r="F274" s="678">
        <f>E274/D274*100</f>
        <v>74.846138059875813</v>
      </c>
      <c r="G274" s="110">
        <f>(G275+G277+G280+G284+G286+G290+G294+G298+G302+G307+G309)/11</f>
        <v>81.720000000000013</v>
      </c>
      <c r="H274" s="111"/>
    </row>
    <row r="275" spans="2:9" s="115" customFormat="1" ht="17.25" customHeight="1" x14ac:dyDescent="0.25">
      <c r="B275" s="390"/>
      <c r="C275" s="608" t="s">
        <v>153</v>
      </c>
      <c r="D275" s="677">
        <v>313000000</v>
      </c>
      <c r="E275" s="756">
        <v>271305600</v>
      </c>
      <c r="F275" s="678">
        <f>E275/D275*100</f>
        <v>86.679105431309893</v>
      </c>
      <c r="G275" s="110">
        <f>+G276</f>
        <v>100</v>
      </c>
      <c r="H275" s="121"/>
    </row>
    <row r="276" spans="2:9" s="80" customFormat="1" ht="17.25" customHeight="1" x14ac:dyDescent="0.25">
      <c r="B276" s="226"/>
      <c r="C276" s="607" t="s">
        <v>1204</v>
      </c>
      <c r="D276" s="679">
        <v>313000000</v>
      </c>
      <c r="E276" s="686">
        <v>271305600</v>
      </c>
      <c r="F276" s="680">
        <f>E276/D276*100</f>
        <v>86.679105431309893</v>
      </c>
      <c r="G276" s="235">
        <v>100</v>
      </c>
      <c r="H276" s="111"/>
    </row>
    <row r="277" spans="2:9" s="80" customFormat="1" ht="17.25" customHeight="1" x14ac:dyDescent="0.25">
      <c r="B277" s="226"/>
      <c r="C277" s="607" t="s">
        <v>156</v>
      </c>
      <c r="D277" s="679">
        <v>1550000000</v>
      </c>
      <c r="E277" s="756">
        <v>671620000</v>
      </c>
      <c r="F277" s="678">
        <f t="shared" ref="F277:F310" si="14">E277/D277*100</f>
        <v>43.330322580645159</v>
      </c>
      <c r="G277" s="110">
        <f>SUM(G278:G279)/2</f>
        <v>85.67</v>
      </c>
      <c r="H277" s="111"/>
    </row>
    <row r="278" spans="2:9" s="80" customFormat="1" ht="17.25" customHeight="1" x14ac:dyDescent="0.25">
      <c r="B278" s="226"/>
      <c r="C278" s="607" t="s">
        <v>1205</v>
      </c>
      <c r="D278" s="679">
        <v>1000000000</v>
      </c>
      <c r="E278" s="686">
        <v>197380000</v>
      </c>
      <c r="F278" s="680">
        <f t="shared" si="14"/>
        <v>19.738</v>
      </c>
      <c r="G278" s="235">
        <v>71.34</v>
      </c>
      <c r="H278" s="111"/>
    </row>
    <row r="279" spans="2:9" s="80" customFormat="1" ht="17.25" customHeight="1" x14ac:dyDescent="0.25">
      <c r="B279" s="226"/>
      <c r="C279" s="607" t="s">
        <v>1206</v>
      </c>
      <c r="D279" s="679">
        <v>550000000</v>
      </c>
      <c r="E279" s="685">
        <v>474240000</v>
      </c>
      <c r="F279" s="680">
        <f t="shared" si="14"/>
        <v>86.225454545454554</v>
      </c>
      <c r="G279" s="235">
        <v>100</v>
      </c>
      <c r="H279" s="111"/>
    </row>
    <row r="280" spans="2:9" s="115" customFormat="1" ht="17.25" customHeight="1" x14ac:dyDescent="0.25">
      <c r="B280" s="390"/>
      <c r="C280" s="608" t="s">
        <v>166</v>
      </c>
      <c r="D280" s="677">
        <v>1770000000</v>
      </c>
      <c r="E280" s="756">
        <v>1482835000</v>
      </c>
      <c r="F280" s="678">
        <f t="shared" si="14"/>
        <v>83.77598870056498</v>
      </c>
      <c r="G280" s="110">
        <f>SUM(G281:G283)/3</f>
        <v>88.786666666666676</v>
      </c>
      <c r="H280" s="121"/>
    </row>
    <row r="281" spans="2:9" s="80" customFormat="1" ht="17.25" customHeight="1" x14ac:dyDescent="0.25">
      <c r="B281" s="226"/>
      <c r="C281" s="607" t="s">
        <v>1207</v>
      </c>
      <c r="D281" s="679">
        <v>150000000</v>
      </c>
      <c r="E281" s="686">
        <v>28314000</v>
      </c>
      <c r="F281" s="680">
        <f t="shared" si="14"/>
        <v>18.876000000000001</v>
      </c>
      <c r="G281" s="235">
        <v>66.67</v>
      </c>
      <c r="H281" s="111"/>
    </row>
    <row r="282" spans="2:9" s="80" customFormat="1" ht="17.25" customHeight="1" x14ac:dyDescent="0.25">
      <c r="B282" s="226"/>
      <c r="C282" s="607" t="s">
        <v>1208</v>
      </c>
      <c r="D282" s="679">
        <v>50000000</v>
      </c>
      <c r="E282" s="685">
        <v>50000000</v>
      </c>
      <c r="F282" s="680">
        <f t="shared" si="14"/>
        <v>100</v>
      </c>
      <c r="G282" s="235">
        <v>100</v>
      </c>
      <c r="H282" s="111"/>
    </row>
    <row r="283" spans="2:9" s="80" customFormat="1" ht="17.25" customHeight="1" x14ac:dyDescent="0.25">
      <c r="B283" s="226"/>
      <c r="C283" s="607" t="s">
        <v>1209</v>
      </c>
      <c r="D283" s="679">
        <v>1570000000</v>
      </c>
      <c r="E283" s="686">
        <v>1404521000</v>
      </c>
      <c r="F283" s="680">
        <f t="shared" si="14"/>
        <v>89.459936305732484</v>
      </c>
      <c r="G283" s="235">
        <v>99.69</v>
      </c>
      <c r="H283" s="111"/>
    </row>
    <row r="284" spans="2:9" s="115" customFormat="1" ht="17.25" customHeight="1" x14ac:dyDescent="0.25">
      <c r="B284" s="222"/>
      <c r="C284" s="608" t="s">
        <v>168</v>
      </c>
      <c r="D284" s="677">
        <v>100000000</v>
      </c>
      <c r="E284" s="756">
        <v>0</v>
      </c>
      <c r="F284" s="678">
        <f t="shared" si="14"/>
        <v>0</v>
      </c>
      <c r="G284" s="110"/>
      <c r="H284" s="121"/>
    </row>
    <row r="285" spans="2:9" s="80" customFormat="1" ht="17.25" customHeight="1" x14ac:dyDescent="0.25">
      <c r="B285" s="226"/>
      <c r="C285" s="607" t="s">
        <v>1210</v>
      </c>
      <c r="D285" s="679">
        <v>100000000</v>
      </c>
      <c r="E285" s="686">
        <v>0</v>
      </c>
      <c r="F285" s="680">
        <f t="shared" si="14"/>
        <v>0</v>
      </c>
      <c r="G285" s="235">
        <v>0</v>
      </c>
      <c r="H285" s="111"/>
    </row>
    <row r="286" spans="2:9" s="115" customFormat="1" ht="17.25" customHeight="1" x14ac:dyDescent="0.25">
      <c r="B286" s="222"/>
      <c r="C286" s="608" t="s">
        <v>175</v>
      </c>
      <c r="D286" s="677">
        <v>300000000</v>
      </c>
      <c r="E286" s="755">
        <v>123593000</v>
      </c>
      <c r="F286" s="678">
        <f t="shared" si="14"/>
        <v>41.197666666666663</v>
      </c>
      <c r="G286" s="110">
        <f>SUM(G287:G289)/3</f>
        <v>81.070000000000007</v>
      </c>
      <c r="H286" s="121"/>
    </row>
    <row r="287" spans="2:9" s="80" customFormat="1" ht="17.25" customHeight="1" x14ac:dyDescent="0.25">
      <c r="B287" s="226"/>
      <c r="C287" s="607" t="s">
        <v>176</v>
      </c>
      <c r="D287" s="679">
        <v>50000000</v>
      </c>
      <c r="E287" s="686">
        <v>49713000</v>
      </c>
      <c r="F287" s="680">
        <f t="shared" si="14"/>
        <v>99.426000000000002</v>
      </c>
      <c r="G287" s="235">
        <v>100</v>
      </c>
      <c r="H287" s="111"/>
    </row>
    <row r="288" spans="2:9" s="80" customFormat="1" ht="17.25" customHeight="1" x14ac:dyDescent="0.25">
      <c r="B288" s="389"/>
      <c r="C288" s="607" t="s">
        <v>1211</v>
      </c>
      <c r="D288" s="679">
        <v>200000000</v>
      </c>
      <c r="E288" s="686">
        <v>69480000</v>
      </c>
      <c r="F288" s="680">
        <f t="shared" si="14"/>
        <v>34.74</v>
      </c>
      <c r="G288" s="235">
        <v>90.48</v>
      </c>
      <c r="H288" s="111"/>
    </row>
    <row r="289" spans="2:8" s="80" customFormat="1" ht="17.25" customHeight="1" x14ac:dyDescent="0.25">
      <c r="B289" s="226"/>
      <c r="C289" s="607" t="s">
        <v>1212</v>
      </c>
      <c r="D289" s="679">
        <v>50000000</v>
      </c>
      <c r="E289" s="686">
        <v>4400000</v>
      </c>
      <c r="F289" s="680">
        <f t="shared" si="14"/>
        <v>8.7999999999999989</v>
      </c>
      <c r="G289" s="235">
        <v>52.73</v>
      </c>
      <c r="H289" s="111"/>
    </row>
    <row r="290" spans="2:8" s="115" customFormat="1" ht="17.25" customHeight="1" x14ac:dyDescent="0.25">
      <c r="B290" s="222"/>
      <c r="C290" s="608" t="s">
        <v>177</v>
      </c>
      <c r="D290" s="677">
        <v>285000000</v>
      </c>
      <c r="E290" s="755">
        <v>204850000</v>
      </c>
      <c r="F290" s="678">
        <f t="shared" si="14"/>
        <v>71.877192982456137</v>
      </c>
      <c r="G290" s="110">
        <f>SUM(G291:G293)/3</f>
        <v>66.666666666666671</v>
      </c>
      <c r="H290" s="121"/>
    </row>
    <row r="291" spans="2:8" s="80" customFormat="1" ht="17.25" customHeight="1" x14ac:dyDescent="0.25">
      <c r="B291" s="226"/>
      <c r="C291" s="607" t="s">
        <v>836</v>
      </c>
      <c r="D291" s="679">
        <v>135000000</v>
      </c>
      <c r="E291" s="686">
        <v>134550000</v>
      </c>
      <c r="F291" s="680">
        <f t="shared" si="14"/>
        <v>99.666666666666671</v>
      </c>
      <c r="G291" s="235">
        <v>100</v>
      </c>
      <c r="H291" s="111"/>
    </row>
    <row r="292" spans="2:8" s="80" customFormat="1" ht="17.25" customHeight="1" x14ac:dyDescent="0.25">
      <c r="B292" s="226"/>
      <c r="C292" s="607" t="s">
        <v>1213</v>
      </c>
      <c r="D292" s="679">
        <v>75000000</v>
      </c>
      <c r="E292" s="685">
        <v>0</v>
      </c>
      <c r="F292" s="680">
        <f t="shared" si="14"/>
        <v>0</v>
      </c>
      <c r="G292" s="235">
        <v>0</v>
      </c>
      <c r="H292" s="111"/>
    </row>
    <row r="293" spans="2:8" s="80" customFormat="1" ht="17.25" customHeight="1" x14ac:dyDescent="0.25">
      <c r="B293" s="226"/>
      <c r="C293" s="607" t="s">
        <v>1214</v>
      </c>
      <c r="D293" s="679">
        <v>75000000</v>
      </c>
      <c r="E293" s="686">
        <v>70300000</v>
      </c>
      <c r="F293" s="680">
        <f t="shared" si="14"/>
        <v>93.733333333333334</v>
      </c>
      <c r="G293" s="235">
        <v>100</v>
      </c>
      <c r="H293" s="111"/>
    </row>
    <row r="294" spans="2:8" s="115" customFormat="1" ht="17.25" customHeight="1" x14ac:dyDescent="0.25">
      <c r="B294" s="222"/>
      <c r="C294" s="608" t="s">
        <v>179</v>
      </c>
      <c r="D294" s="677">
        <v>327000000</v>
      </c>
      <c r="E294" s="756">
        <v>269819827</v>
      </c>
      <c r="F294" s="678">
        <f t="shared" si="14"/>
        <v>82.513708562691136</v>
      </c>
      <c r="G294" s="110">
        <f>SUM(G295:G297)/3</f>
        <v>90.65666666666668</v>
      </c>
      <c r="H294" s="121"/>
    </row>
    <row r="295" spans="2:8" s="80" customFormat="1" ht="17.25" customHeight="1" x14ac:dyDescent="0.25">
      <c r="B295" s="226"/>
      <c r="C295" s="607" t="s">
        <v>1215</v>
      </c>
      <c r="D295" s="679">
        <v>75000000</v>
      </c>
      <c r="E295" s="686">
        <v>71081000</v>
      </c>
      <c r="F295" s="680">
        <f t="shared" si="14"/>
        <v>94.774666666666661</v>
      </c>
      <c r="G295" s="235">
        <v>95.48</v>
      </c>
      <c r="H295" s="111"/>
    </row>
    <row r="296" spans="2:8" s="80" customFormat="1" ht="17.25" customHeight="1" x14ac:dyDescent="0.25">
      <c r="B296" s="226"/>
      <c r="C296" s="607" t="s">
        <v>1216</v>
      </c>
      <c r="D296" s="679">
        <v>90000000</v>
      </c>
      <c r="E296" s="686">
        <v>82056827</v>
      </c>
      <c r="F296" s="680">
        <f t="shared" si="14"/>
        <v>91.174252222222222</v>
      </c>
      <c r="G296" s="235">
        <v>100</v>
      </c>
      <c r="H296" s="111"/>
    </row>
    <row r="297" spans="2:8" s="80" customFormat="1" ht="17.25" customHeight="1" x14ac:dyDescent="0.25">
      <c r="B297" s="226"/>
      <c r="C297" s="607" t="s">
        <v>1217</v>
      </c>
      <c r="D297" s="679">
        <v>162000000</v>
      </c>
      <c r="E297" s="686">
        <v>116682000</v>
      </c>
      <c r="F297" s="680">
        <f t="shared" si="14"/>
        <v>72.025925925925932</v>
      </c>
      <c r="G297" s="235">
        <v>76.489999999999995</v>
      </c>
      <c r="H297" s="111"/>
    </row>
    <row r="298" spans="2:8" s="115" customFormat="1" ht="17.25" customHeight="1" x14ac:dyDescent="0.25">
      <c r="B298" s="222"/>
      <c r="C298" s="608" t="s">
        <v>182</v>
      </c>
      <c r="D298" s="677">
        <v>1830000000</v>
      </c>
      <c r="E298" s="756">
        <v>1533764000</v>
      </c>
      <c r="F298" s="678">
        <f t="shared" si="14"/>
        <v>83.812240437158465</v>
      </c>
      <c r="G298" s="110">
        <f>SUM(G299:G301)/2</f>
        <v>95.09</v>
      </c>
      <c r="H298" s="121"/>
    </row>
    <row r="299" spans="2:8" s="80" customFormat="1" ht="17.25" customHeight="1" x14ac:dyDescent="0.25">
      <c r="B299" s="226"/>
      <c r="C299" s="607" t="s">
        <v>1218</v>
      </c>
      <c r="D299" s="679">
        <v>800000000</v>
      </c>
      <c r="E299" s="686">
        <v>783814000</v>
      </c>
      <c r="F299" s="680">
        <f t="shared" si="14"/>
        <v>97.976749999999996</v>
      </c>
      <c r="G299" s="235">
        <v>100</v>
      </c>
      <c r="H299" s="111"/>
    </row>
    <row r="300" spans="2:8" s="80" customFormat="1" ht="17.25" customHeight="1" x14ac:dyDescent="0.25">
      <c r="B300" s="226"/>
      <c r="C300" s="607" t="s">
        <v>1219</v>
      </c>
      <c r="D300" s="679">
        <v>15000000</v>
      </c>
      <c r="E300" s="686">
        <v>0</v>
      </c>
      <c r="F300" s="680">
        <f t="shared" si="14"/>
        <v>0</v>
      </c>
      <c r="G300" s="235">
        <v>0</v>
      </c>
      <c r="H300" s="111"/>
    </row>
    <row r="301" spans="2:8" s="80" customFormat="1" ht="33.75" customHeight="1" x14ac:dyDescent="0.25">
      <c r="B301" s="226"/>
      <c r="C301" s="607" t="s">
        <v>1220</v>
      </c>
      <c r="D301" s="679">
        <v>1015000000</v>
      </c>
      <c r="E301" s="686">
        <v>749950000</v>
      </c>
      <c r="F301" s="680">
        <f t="shared" si="14"/>
        <v>73.886699507389167</v>
      </c>
      <c r="G301" s="235">
        <v>90.18</v>
      </c>
      <c r="H301" s="111"/>
    </row>
    <row r="302" spans="2:8" s="115" customFormat="1" ht="36.75" customHeight="1" x14ac:dyDescent="0.25">
      <c r="B302" s="222"/>
      <c r="C302" s="608" t="s">
        <v>1221</v>
      </c>
      <c r="D302" s="677">
        <v>820000000</v>
      </c>
      <c r="E302" s="756">
        <v>808605500</v>
      </c>
      <c r="F302" s="678">
        <f t="shared" si="14"/>
        <v>98.610426829268292</v>
      </c>
      <c r="G302" s="110">
        <f>SUM(G303:G306)/4</f>
        <v>100</v>
      </c>
      <c r="H302" s="121"/>
    </row>
    <row r="303" spans="2:8" s="80" customFormat="1" ht="17.25" customHeight="1" x14ac:dyDescent="0.25">
      <c r="B303" s="226"/>
      <c r="C303" s="607" t="s">
        <v>1222</v>
      </c>
      <c r="D303" s="679">
        <v>260000000</v>
      </c>
      <c r="E303" s="686">
        <v>258900000</v>
      </c>
      <c r="F303" s="680">
        <f t="shared" si="14"/>
        <v>99.57692307692308</v>
      </c>
      <c r="G303" s="235">
        <v>100</v>
      </c>
      <c r="H303" s="111"/>
    </row>
    <row r="304" spans="2:8" s="80" customFormat="1" ht="17.25" customHeight="1" x14ac:dyDescent="0.25">
      <c r="B304" s="226"/>
      <c r="C304" s="607" t="s">
        <v>1223</v>
      </c>
      <c r="D304" s="679">
        <v>200000000</v>
      </c>
      <c r="E304" s="686">
        <v>198250000</v>
      </c>
      <c r="F304" s="680">
        <f t="shared" si="14"/>
        <v>99.125</v>
      </c>
      <c r="G304" s="235">
        <v>100</v>
      </c>
      <c r="H304" s="111"/>
    </row>
    <row r="305" spans="2:8" s="80" customFormat="1" ht="17.25" customHeight="1" x14ac:dyDescent="0.25">
      <c r="B305" s="226"/>
      <c r="C305" s="607" t="s">
        <v>1224</v>
      </c>
      <c r="D305" s="679">
        <v>160000000</v>
      </c>
      <c r="E305" s="685">
        <v>157140500</v>
      </c>
      <c r="F305" s="680">
        <f t="shared" si="14"/>
        <v>98.212812499999998</v>
      </c>
      <c r="G305" s="235">
        <v>100</v>
      </c>
      <c r="H305" s="111"/>
    </row>
    <row r="306" spans="2:8" s="80" customFormat="1" ht="17.25" customHeight="1" x14ac:dyDescent="0.25">
      <c r="B306" s="226"/>
      <c r="C306" s="607" t="s">
        <v>1225</v>
      </c>
      <c r="D306" s="679">
        <v>200000000</v>
      </c>
      <c r="E306" s="686">
        <v>194315000</v>
      </c>
      <c r="F306" s="680">
        <f t="shared" si="14"/>
        <v>97.157499999999999</v>
      </c>
      <c r="G306" s="235">
        <v>100</v>
      </c>
      <c r="H306" s="111"/>
    </row>
    <row r="307" spans="2:8" s="115" customFormat="1" ht="17.25" customHeight="1" x14ac:dyDescent="0.25">
      <c r="B307" s="222"/>
      <c r="C307" s="608" t="s">
        <v>196</v>
      </c>
      <c r="D307" s="677">
        <v>208894550</v>
      </c>
      <c r="E307" s="755">
        <v>180882600</v>
      </c>
      <c r="F307" s="678">
        <f t="shared" si="14"/>
        <v>86.590387350938542</v>
      </c>
      <c r="G307" s="110">
        <f>+G308</f>
        <v>90.98</v>
      </c>
      <c r="H307" s="121"/>
    </row>
    <row r="308" spans="2:8" s="80" customFormat="1" ht="17.25" customHeight="1" x14ac:dyDescent="0.25">
      <c r="B308" s="226"/>
      <c r="C308" s="607" t="s">
        <v>1226</v>
      </c>
      <c r="D308" s="679">
        <v>208894550</v>
      </c>
      <c r="E308" s="686">
        <v>180882600</v>
      </c>
      <c r="F308" s="680">
        <f t="shared" si="14"/>
        <v>86.590387350938542</v>
      </c>
      <c r="G308" s="235">
        <v>90.98</v>
      </c>
      <c r="H308" s="111"/>
    </row>
    <row r="309" spans="2:8" s="115" customFormat="1" ht="17.25" customHeight="1" x14ac:dyDescent="0.25">
      <c r="B309" s="222"/>
      <c r="C309" s="608" t="s">
        <v>720</v>
      </c>
      <c r="D309" s="677">
        <v>400000000</v>
      </c>
      <c r="E309" s="756">
        <v>368484300</v>
      </c>
      <c r="F309" s="678">
        <f t="shared" si="14"/>
        <v>92.12107499999999</v>
      </c>
      <c r="G309" s="110">
        <f>+G310</f>
        <v>100</v>
      </c>
      <c r="H309" s="121"/>
    </row>
    <row r="310" spans="2:8" s="80" customFormat="1" ht="17.25" customHeight="1" x14ac:dyDescent="0.25">
      <c r="B310" s="226"/>
      <c r="C310" s="607" t="s">
        <v>1227</v>
      </c>
      <c r="D310" s="679">
        <v>400000000</v>
      </c>
      <c r="E310" s="686">
        <v>368484300</v>
      </c>
      <c r="F310" s="680">
        <f t="shared" si="14"/>
        <v>92.12107499999999</v>
      </c>
      <c r="G310" s="235">
        <v>100</v>
      </c>
      <c r="H310" s="111"/>
    </row>
    <row r="311" spans="2:8" s="80" customFormat="1" ht="17.25" customHeight="1" x14ac:dyDescent="0.25">
      <c r="B311" s="226"/>
      <c r="C311" s="607"/>
      <c r="D311" s="679"/>
      <c r="E311" s="116"/>
      <c r="F311" s="116"/>
      <c r="G311" s="117"/>
      <c r="H311" s="111"/>
    </row>
    <row r="312" spans="2:8" s="80" customFormat="1" ht="17.25" customHeight="1" x14ac:dyDescent="0.25">
      <c r="B312" s="226"/>
      <c r="C312" s="608" t="s">
        <v>847</v>
      </c>
      <c r="D312" s="677">
        <v>3000000000</v>
      </c>
      <c r="E312" s="755">
        <v>2909500000</v>
      </c>
      <c r="F312" s="678">
        <f>E312/D312*100</f>
        <v>96.983333333333334</v>
      </c>
      <c r="G312" s="110">
        <f>+G313</f>
        <v>100</v>
      </c>
      <c r="H312" s="111"/>
    </row>
    <row r="313" spans="2:8" s="80" customFormat="1" ht="24.75" customHeight="1" x14ac:dyDescent="0.25">
      <c r="B313" s="226"/>
      <c r="C313" s="608" t="s">
        <v>1228</v>
      </c>
      <c r="D313" s="677">
        <v>3000000000</v>
      </c>
      <c r="E313" s="755">
        <v>2909500000</v>
      </c>
      <c r="F313" s="678">
        <f>E313/D313*100</f>
        <v>96.983333333333334</v>
      </c>
      <c r="G313" s="110">
        <f>+G314</f>
        <v>100</v>
      </c>
      <c r="H313" s="111"/>
    </row>
    <row r="314" spans="2:8" s="80" customFormat="1" ht="17.25" customHeight="1" x14ac:dyDescent="0.25">
      <c r="B314" s="226"/>
      <c r="C314" s="607" t="s">
        <v>1229</v>
      </c>
      <c r="D314" s="679">
        <v>3000000000</v>
      </c>
      <c r="E314" s="686">
        <v>2909500000</v>
      </c>
      <c r="F314" s="680">
        <f>E314/D314*100</f>
        <v>96.983333333333334</v>
      </c>
      <c r="G314" s="235">
        <v>100</v>
      </c>
      <c r="H314" s="111"/>
    </row>
    <row r="315" spans="2:8" s="80" customFormat="1" ht="17.25" customHeight="1" x14ac:dyDescent="0.25">
      <c r="B315" s="226"/>
      <c r="C315" s="607"/>
      <c r="D315" s="679"/>
      <c r="E315" s="116"/>
      <c r="F315" s="116"/>
      <c r="G315" s="117"/>
      <c r="H315" s="111"/>
    </row>
    <row r="316" spans="2:8" s="80" customFormat="1" ht="17.25" customHeight="1" x14ac:dyDescent="0.25">
      <c r="B316" s="226"/>
      <c r="C316" s="608" t="s">
        <v>1275</v>
      </c>
      <c r="D316" s="677">
        <f>+D317+D319+D322</f>
        <v>800000000</v>
      </c>
      <c r="E316" s="120">
        <f>+E317+E319+E322</f>
        <v>799850000</v>
      </c>
      <c r="F316" s="195">
        <f>+E316/D316*100</f>
        <v>99.981250000000003</v>
      </c>
      <c r="G316" s="114">
        <f>(G317+G319+G322)/3</f>
        <v>95</v>
      </c>
      <c r="H316" s="111"/>
    </row>
    <row r="317" spans="2:8" s="80" customFormat="1" ht="17.25" customHeight="1" x14ac:dyDescent="0.25">
      <c r="B317" s="226"/>
      <c r="C317" s="608" t="s">
        <v>1276</v>
      </c>
      <c r="D317" s="677">
        <v>90515500</v>
      </c>
      <c r="E317" s="185">
        <f>SUM(E318)</f>
        <v>90515500</v>
      </c>
      <c r="F317" s="186">
        <f>E317/D317*100</f>
        <v>100</v>
      </c>
      <c r="G317" s="117">
        <f>+F317</f>
        <v>100</v>
      </c>
      <c r="H317" s="111"/>
    </row>
    <row r="318" spans="2:8" s="80" customFormat="1" ht="17.25" customHeight="1" x14ac:dyDescent="0.25">
      <c r="B318" s="226"/>
      <c r="C318" s="607" t="s">
        <v>1277</v>
      </c>
      <c r="D318" s="679">
        <v>90515500</v>
      </c>
      <c r="E318" s="181">
        <v>90515500</v>
      </c>
      <c r="F318" s="53">
        <f>E318/D318*100</f>
        <v>100</v>
      </c>
      <c r="G318" s="117">
        <f>+F318</f>
        <v>100</v>
      </c>
      <c r="H318" s="111"/>
    </row>
    <row r="319" spans="2:8" s="115" customFormat="1" ht="17.25" customHeight="1" x14ac:dyDescent="0.25">
      <c r="B319" s="222"/>
      <c r="C319" s="249" t="s">
        <v>1278</v>
      </c>
      <c r="D319" s="677">
        <v>374480000</v>
      </c>
      <c r="E319" s="756">
        <v>374480000</v>
      </c>
      <c r="F319" s="756">
        <v>100</v>
      </c>
      <c r="G319" s="110">
        <f>SUM(G320:G321)/2</f>
        <v>85</v>
      </c>
      <c r="H319" s="121"/>
    </row>
    <row r="320" spans="2:8" s="80" customFormat="1" ht="17.25" customHeight="1" x14ac:dyDescent="0.25">
      <c r="B320" s="226"/>
      <c r="C320" s="118" t="s">
        <v>1279</v>
      </c>
      <c r="D320" s="679">
        <v>200000000</v>
      </c>
      <c r="E320" s="686">
        <v>200000000</v>
      </c>
      <c r="F320" s="686">
        <v>100</v>
      </c>
      <c r="G320" s="235">
        <v>100</v>
      </c>
      <c r="H320" s="111"/>
    </row>
    <row r="321" spans="2:8" s="80" customFormat="1" ht="17.25" customHeight="1" x14ac:dyDescent="0.25">
      <c r="B321" s="226"/>
      <c r="C321" s="118" t="s">
        <v>1280</v>
      </c>
      <c r="D321" s="679">
        <v>174480000</v>
      </c>
      <c r="E321" s="686">
        <v>174480000</v>
      </c>
      <c r="F321" s="686">
        <v>100</v>
      </c>
      <c r="G321" s="235">
        <v>70</v>
      </c>
      <c r="H321" s="111"/>
    </row>
    <row r="322" spans="2:8" s="115" customFormat="1" ht="17.25" customHeight="1" x14ac:dyDescent="0.25">
      <c r="B322" s="159"/>
      <c r="C322" s="249" t="s">
        <v>1281</v>
      </c>
      <c r="D322" s="677">
        <v>335004500</v>
      </c>
      <c r="E322" s="756">
        <v>334854500</v>
      </c>
      <c r="F322" s="756">
        <v>99.955224482059208</v>
      </c>
      <c r="G322" s="110">
        <f>SUM(G323:G324)/2</f>
        <v>100</v>
      </c>
      <c r="H322" s="121"/>
    </row>
    <row r="323" spans="2:8" s="80" customFormat="1" ht="27" customHeight="1" x14ac:dyDescent="0.25">
      <c r="B323" s="226"/>
      <c r="C323" s="118" t="s">
        <v>1282</v>
      </c>
      <c r="D323" s="679">
        <v>186704500</v>
      </c>
      <c r="E323" s="686">
        <v>186604500</v>
      </c>
      <c r="F323" s="686">
        <v>99.946439427008997</v>
      </c>
      <c r="G323" s="235">
        <v>100</v>
      </c>
      <c r="H323" s="111"/>
    </row>
    <row r="324" spans="2:8" s="80" customFormat="1" ht="17.25" customHeight="1" x14ac:dyDescent="0.25">
      <c r="B324" s="226"/>
      <c r="C324" s="118" t="s">
        <v>1283</v>
      </c>
      <c r="D324" s="679">
        <v>148300000</v>
      </c>
      <c r="E324" s="686">
        <v>148250000</v>
      </c>
      <c r="F324" s="686">
        <v>99.966284558327715</v>
      </c>
      <c r="G324" s="235">
        <v>100</v>
      </c>
      <c r="H324" s="111"/>
    </row>
    <row r="325" spans="2:8" s="80" customFormat="1" ht="17.25" customHeight="1" x14ac:dyDescent="0.25">
      <c r="B325" s="226"/>
      <c r="C325" s="118"/>
      <c r="D325" s="107"/>
      <c r="E325" s="107"/>
      <c r="F325" s="116"/>
      <c r="G325" s="117"/>
      <c r="H325" s="111"/>
    </row>
    <row r="326" spans="2:8" s="80" customFormat="1" ht="17.25" customHeight="1" x14ac:dyDescent="0.25">
      <c r="B326" s="226"/>
      <c r="C326" s="681" t="s">
        <v>1250</v>
      </c>
      <c r="D326" s="682">
        <f>+D327+D329</f>
        <v>2495000000</v>
      </c>
      <c r="E326" s="120"/>
      <c r="F326" s="195"/>
      <c r="G326" s="114"/>
      <c r="H326" s="111"/>
    </row>
    <row r="327" spans="2:8" s="80" customFormat="1" ht="17.25" customHeight="1" x14ac:dyDescent="0.25">
      <c r="B327" s="226"/>
      <c r="C327" s="681" t="s">
        <v>343</v>
      </c>
      <c r="D327" s="682">
        <v>75000000</v>
      </c>
      <c r="E327" s="120"/>
      <c r="F327" s="195"/>
      <c r="G327" s="114"/>
      <c r="H327" s="111"/>
    </row>
    <row r="328" spans="2:8" s="80" customFormat="1" ht="17.25" customHeight="1" x14ac:dyDescent="0.25">
      <c r="B328" s="226"/>
      <c r="C328" s="683" t="s">
        <v>880</v>
      </c>
      <c r="D328" s="684">
        <v>75000000</v>
      </c>
      <c r="E328" s="107"/>
      <c r="F328" s="116"/>
      <c r="G328" s="117"/>
      <c r="H328" s="111"/>
    </row>
    <row r="329" spans="2:8" s="80" customFormat="1" ht="17.25" customHeight="1" x14ac:dyDescent="0.25">
      <c r="B329" s="226"/>
      <c r="C329" s="681" t="s">
        <v>929</v>
      </c>
      <c r="D329" s="682">
        <v>2420000000</v>
      </c>
      <c r="E329" s="120"/>
      <c r="F329" s="195"/>
      <c r="G329" s="114"/>
      <c r="H329" s="111"/>
    </row>
    <row r="330" spans="2:8" s="80" customFormat="1" ht="27" customHeight="1" x14ac:dyDescent="0.25">
      <c r="B330" s="226"/>
      <c r="C330" s="683" t="s">
        <v>1251</v>
      </c>
      <c r="D330" s="684">
        <v>1420000000</v>
      </c>
      <c r="E330" s="685"/>
      <c r="F330" s="686"/>
      <c r="G330" s="235"/>
      <c r="H330" s="111"/>
    </row>
    <row r="331" spans="2:8" s="80" customFormat="1" ht="17.25" customHeight="1" x14ac:dyDescent="0.25">
      <c r="B331" s="226"/>
      <c r="C331" s="118"/>
      <c r="D331" s="107"/>
      <c r="E331" s="107"/>
      <c r="F331" s="116"/>
      <c r="G331" s="117"/>
      <c r="H331" s="111"/>
    </row>
    <row r="332" spans="2:8" s="80" customFormat="1" ht="17.25" customHeight="1" x14ac:dyDescent="0.25">
      <c r="B332" s="226"/>
      <c r="C332" s="249" t="s">
        <v>1344</v>
      </c>
      <c r="D332" s="677">
        <f>D333</f>
        <v>2240000000</v>
      </c>
      <c r="E332" s="120">
        <f>+D332</f>
        <v>2240000000</v>
      </c>
      <c r="F332" s="195">
        <f>+E332/D332*100</f>
        <v>100</v>
      </c>
      <c r="G332" s="114">
        <f>G333</f>
        <v>52.5</v>
      </c>
      <c r="H332" s="111"/>
    </row>
    <row r="333" spans="2:8" s="80" customFormat="1" ht="17.25" customHeight="1" x14ac:dyDescent="0.25">
      <c r="B333" s="226"/>
      <c r="C333" s="249" t="s">
        <v>1345</v>
      </c>
      <c r="D333" s="677">
        <f>D334</f>
        <v>2240000000</v>
      </c>
      <c r="E333" s="120">
        <f>+D333</f>
        <v>2240000000</v>
      </c>
      <c r="F333" s="195">
        <f>+E333/D333*100</f>
        <v>100</v>
      </c>
      <c r="G333" s="114">
        <f>SUM(G334:G335)/2</f>
        <v>52.5</v>
      </c>
      <c r="H333" s="111"/>
    </row>
    <row r="334" spans="2:8" s="80" customFormat="1" ht="17.25" customHeight="1" x14ac:dyDescent="0.25">
      <c r="B334" s="109"/>
      <c r="C334" s="118" t="s">
        <v>1347</v>
      </c>
      <c r="D334" s="679">
        <v>2240000000</v>
      </c>
      <c r="E334" s="108">
        <f>+D334</f>
        <v>2240000000</v>
      </c>
      <c r="F334" s="687">
        <f t="shared" ref="F334:F335" si="15">+E334/D334*100</f>
        <v>100</v>
      </c>
      <c r="G334" s="117">
        <v>35</v>
      </c>
      <c r="H334" s="111"/>
    </row>
    <row r="335" spans="2:8" ht="17.25" customHeight="1" x14ac:dyDescent="0.25">
      <c r="B335" s="190"/>
      <c r="C335" s="118" t="s">
        <v>1348</v>
      </c>
      <c r="D335" s="679">
        <v>250000000</v>
      </c>
      <c r="E335" s="108">
        <f>+D335</f>
        <v>250000000</v>
      </c>
      <c r="F335" s="687">
        <f t="shared" si="15"/>
        <v>100</v>
      </c>
      <c r="G335" s="117">
        <v>70</v>
      </c>
      <c r="H335" s="111"/>
    </row>
    <row r="336" spans="2:8" ht="17.25" customHeight="1" x14ac:dyDescent="0.25">
      <c r="B336" s="190"/>
      <c r="C336" s="118"/>
      <c r="D336" s="181"/>
      <c r="E336" s="181"/>
      <c r="F336" s="53"/>
      <c r="G336" s="117"/>
      <c r="H336" s="183"/>
    </row>
    <row r="337" spans="2:8" ht="17.25" customHeight="1" x14ac:dyDescent="0.25">
      <c r="B337" s="191" t="s">
        <v>1350</v>
      </c>
      <c r="C337" s="48" t="s">
        <v>1351</v>
      </c>
      <c r="D337" s="168">
        <f>+D338+D375</f>
        <v>14198475750</v>
      </c>
      <c r="E337" s="195">
        <f>E338+E375</f>
        <v>13940894055</v>
      </c>
      <c r="F337" s="195">
        <f t="shared" ref="F337:F373" si="16">E337/D337*100</f>
        <v>98.185849667701135</v>
      </c>
      <c r="G337" s="114">
        <v>50</v>
      </c>
      <c r="H337" s="188"/>
    </row>
    <row r="338" spans="2:8" ht="17.25" customHeight="1" x14ac:dyDescent="0.25">
      <c r="B338" s="190"/>
      <c r="C338" s="249" t="s">
        <v>1380</v>
      </c>
      <c r="D338" s="195">
        <f>D339+D342+D348+D350+D352+D356+D359+D361+D369+D371</f>
        <v>10915000000</v>
      </c>
      <c r="E338" s="410">
        <f>E339+E342+E348+E350+E352+E356+E359+E361+E369+E371</f>
        <v>10769747595</v>
      </c>
      <c r="F338" s="688">
        <f t="shared" si="16"/>
        <v>98.669240448923503</v>
      </c>
      <c r="G338" s="110">
        <v>100</v>
      </c>
      <c r="H338" s="183"/>
    </row>
    <row r="339" spans="2:8" ht="17.25" customHeight="1" x14ac:dyDescent="0.25">
      <c r="B339" s="190"/>
      <c r="C339" s="249" t="s">
        <v>156</v>
      </c>
      <c r="D339" s="195">
        <f>SUM(D340:D341)</f>
        <v>2000000000</v>
      </c>
      <c r="E339" s="411">
        <f>SUM(E340:E341)</f>
        <v>1907963595</v>
      </c>
      <c r="F339" s="688">
        <f t="shared" si="16"/>
        <v>95.398179749999997</v>
      </c>
      <c r="G339" s="110">
        <v>100</v>
      </c>
      <c r="H339" s="183"/>
    </row>
    <row r="340" spans="2:8" ht="17.25" customHeight="1" x14ac:dyDescent="0.25">
      <c r="B340" s="190"/>
      <c r="C340" s="118" t="s">
        <v>1381</v>
      </c>
      <c r="D340" s="116">
        <v>500000000</v>
      </c>
      <c r="E340" s="419">
        <v>500000000</v>
      </c>
      <c r="F340" s="609">
        <f t="shared" si="16"/>
        <v>100</v>
      </c>
      <c r="G340" s="235">
        <v>100</v>
      </c>
      <c r="H340" s="183"/>
    </row>
    <row r="341" spans="2:8" ht="17.25" customHeight="1" x14ac:dyDescent="0.25">
      <c r="B341" s="190"/>
      <c r="C341" s="118" t="s">
        <v>1382</v>
      </c>
      <c r="D341" s="116">
        <v>1500000000</v>
      </c>
      <c r="E341" s="609">
        <v>1407963595</v>
      </c>
      <c r="F341" s="609">
        <f t="shared" si="16"/>
        <v>93.864239666666677</v>
      </c>
      <c r="G341" s="235">
        <v>100</v>
      </c>
      <c r="H341" s="183"/>
    </row>
    <row r="342" spans="2:8" ht="17.25" customHeight="1" x14ac:dyDescent="0.25">
      <c r="B342" s="190"/>
      <c r="C342" s="249" t="s">
        <v>166</v>
      </c>
      <c r="D342" s="195">
        <f>SUM(D343:D347)</f>
        <v>5475000000</v>
      </c>
      <c r="E342" s="411">
        <f>SUM(E343:E347)</f>
        <v>5454750000</v>
      </c>
      <c r="F342" s="688">
        <f t="shared" si="16"/>
        <v>99.630136986301366</v>
      </c>
      <c r="G342" s="110">
        <v>100</v>
      </c>
      <c r="H342" s="183"/>
    </row>
    <row r="343" spans="2:8" ht="17.25" customHeight="1" x14ac:dyDescent="0.25">
      <c r="B343" s="190"/>
      <c r="C343" s="118" t="s">
        <v>1383</v>
      </c>
      <c r="D343" s="116">
        <v>50000000</v>
      </c>
      <c r="E343" s="689">
        <v>50000000</v>
      </c>
      <c r="F343" s="609">
        <f t="shared" si="16"/>
        <v>100</v>
      </c>
      <c r="G343" s="235">
        <v>100</v>
      </c>
      <c r="H343" s="183"/>
    </row>
    <row r="344" spans="2:8" ht="17.25" customHeight="1" x14ac:dyDescent="0.25">
      <c r="B344" s="190"/>
      <c r="C344" s="118" t="s">
        <v>794</v>
      </c>
      <c r="D344" s="116">
        <v>200000000</v>
      </c>
      <c r="E344" s="689">
        <v>200000000</v>
      </c>
      <c r="F344" s="609">
        <f t="shared" si="16"/>
        <v>100</v>
      </c>
      <c r="G344" s="235">
        <v>100</v>
      </c>
      <c r="H344" s="183"/>
    </row>
    <row r="345" spans="2:8" ht="17.25" customHeight="1" x14ac:dyDescent="0.25">
      <c r="B345" s="190"/>
      <c r="C345" s="118" t="s">
        <v>1384</v>
      </c>
      <c r="D345" s="116">
        <v>4725000000</v>
      </c>
      <c r="E345" s="419">
        <v>4723000000</v>
      </c>
      <c r="F345" s="609">
        <f t="shared" si="16"/>
        <v>99.957671957671963</v>
      </c>
      <c r="G345" s="235">
        <v>100</v>
      </c>
      <c r="H345" s="183"/>
    </row>
    <row r="346" spans="2:8" ht="17.25" customHeight="1" x14ac:dyDescent="0.25">
      <c r="B346" s="190"/>
      <c r="C346" s="118" t="s">
        <v>1385</v>
      </c>
      <c r="D346" s="116">
        <v>200000000</v>
      </c>
      <c r="E346" s="609">
        <v>181750000</v>
      </c>
      <c r="F346" s="609">
        <f t="shared" si="16"/>
        <v>90.875</v>
      </c>
      <c r="G346" s="235">
        <v>100</v>
      </c>
      <c r="H346" s="183"/>
    </row>
    <row r="347" spans="2:8" ht="17.25" customHeight="1" x14ac:dyDescent="0.25">
      <c r="B347" s="190"/>
      <c r="C347" s="118" t="s">
        <v>1386</v>
      </c>
      <c r="D347" s="116">
        <v>300000000</v>
      </c>
      <c r="E347" s="609">
        <v>300000000</v>
      </c>
      <c r="F347" s="688">
        <f t="shared" si="16"/>
        <v>100</v>
      </c>
      <c r="G347" s="235">
        <v>100</v>
      </c>
      <c r="H347" s="183"/>
    </row>
    <row r="348" spans="2:8" ht="17.25" customHeight="1" x14ac:dyDescent="0.25">
      <c r="B348" s="190"/>
      <c r="C348" s="249" t="s">
        <v>1387</v>
      </c>
      <c r="D348" s="195">
        <f>D349</f>
        <v>200000000</v>
      </c>
      <c r="E348" s="411">
        <f>E349</f>
        <v>173420000</v>
      </c>
      <c r="F348" s="688">
        <f t="shared" si="16"/>
        <v>86.71</v>
      </c>
      <c r="G348" s="110">
        <v>100</v>
      </c>
      <c r="H348" s="183"/>
    </row>
    <row r="349" spans="2:8" ht="17.25" customHeight="1" x14ac:dyDescent="0.25">
      <c r="B349" s="190"/>
      <c r="C349" s="118" t="s">
        <v>1388</v>
      </c>
      <c r="D349" s="116">
        <v>200000000</v>
      </c>
      <c r="E349" s="609">
        <v>173420000</v>
      </c>
      <c r="F349" s="609">
        <f t="shared" si="16"/>
        <v>86.71</v>
      </c>
      <c r="G349" s="235">
        <v>100</v>
      </c>
      <c r="H349" s="183"/>
    </row>
    <row r="350" spans="2:8" ht="30" customHeight="1" x14ac:dyDescent="0.25">
      <c r="B350" s="190"/>
      <c r="C350" s="249" t="s">
        <v>168</v>
      </c>
      <c r="D350" s="195">
        <f>D351</f>
        <v>75000000</v>
      </c>
      <c r="E350" s="411">
        <f>E351</f>
        <v>75000000</v>
      </c>
      <c r="F350" s="688">
        <f t="shared" si="16"/>
        <v>100</v>
      </c>
      <c r="G350" s="110">
        <v>100</v>
      </c>
      <c r="H350" s="183"/>
    </row>
    <row r="351" spans="2:8" ht="17.25" customHeight="1" x14ac:dyDescent="0.25">
      <c r="B351" s="190"/>
      <c r="C351" s="118" t="s">
        <v>1389</v>
      </c>
      <c r="D351" s="116">
        <v>75000000</v>
      </c>
      <c r="E351" s="688">
        <v>75000000</v>
      </c>
      <c r="F351" s="609">
        <f t="shared" si="16"/>
        <v>100</v>
      </c>
      <c r="G351" s="235">
        <v>100</v>
      </c>
      <c r="H351" s="183"/>
    </row>
    <row r="352" spans="2:8" ht="17.25" customHeight="1" x14ac:dyDescent="0.25">
      <c r="B352" s="190"/>
      <c r="C352" s="249" t="s">
        <v>705</v>
      </c>
      <c r="D352" s="195">
        <f>SUM(D353:D355)</f>
        <v>405000000</v>
      </c>
      <c r="E352" s="411">
        <f>SUM(E353:E355)</f>
        <v>405000000</v>
      </c>
      <c r="F352" s="688">
        <f t="shared" si="16"/>
        <v>100</v>
      </c>
      <c r="G352" s="110">
        <v>100</v>
      </c>
      <c r="H352" s="183"/>
    </row>
    <row r="353" spans="2:8" ht="17.25" customHeight="1" x14ac:dyDescent="0.25">
      <c r="B353" s="190"/>
      <c r="C353" s="118" t="s">
        <v>1390</v>
      </c>
      <c r="D353" s="116">
        <v>100000000</v>
      </c>
      <c r="E353" s="609">
        <v>100000000</v>
      </c>
      <c r="F353" s="609">
        <f t="shared" si="16"/>
        <v>100</v>
      </c>
      <c r="G353" s="235">
        <v>100</v>
      </c>
      <c r="H353" s="183"/>
    </row>
    <row r="354" spans="2:8" ht="17.25" customHeight="1" x14ac:dyDescent="0.25">
      <c r="B354" s="190"/>
      <c r="C354" s="118" t="s">
        <v>1391</v>
      </c>
      <c r="D354" s="116">
        <v>200000000</v>
      </c>
      <c r="E354" s="420">
        <v>200000000</v>
      </c>
      <c r="F354" s="609">
        <f t="shared" si="16"/>
        <v>100</v>
      </c>
      <c r="G354" s="235">
        <v>100</v>
      </c>
      <c r="H354" s="183"/>
    </row>
    <row r="355" spans="2:8" ht="17.25" customHeight="1" x14ac:dyDescent="0.25">
      <c r="B355" s="190"/>
      <c r="C355" s="118" t="s">
        <v>1392</v>
      </c>
      <c r="D355" s="116">
        <v>105000000</v>
      </c>
      <c r="E355" s="420">
        <v>105000000</v>
      </c>
      <c r="F355" s="609">
        <f t="shared" si="16"/>
        <v>100</v>
      </c>
      <c r="G355" s="235">
        <v>100</v>
      </c>
      <c r="H355" s="183"/>
    </row>
    <row r="356" spans="2:8" ht="17.25" customHeight="1" x14ac:dyDescent="0.25">
      <c r="B356" s="190"/>
      <c r="C356" s="249" t="s">
        <v>177</v>
      </c>
      <c r="D356" s="195">
        <f>SUM(D357:D358)</f>
        <v>465000000</v>
      </c>
      <c r="E356" s="411">
        <f>SUM(E357:E358)</f>
        <v>465000000</v>
      </c>
      <c r="F356" s="688">
        <f t="shared" si="16"/>
        <v>100</v>
      </c>
      <c r="G356" s="110">
        <v>100</v>
      </c>
      <c r="H356" s="183"/>
    </row>
    <row r="357" spans="2:8" ht="17.25" customHeight="1" x14ac:dyDescent="0.25">
      <c r="B357" s="190"/>
      <c r="C357" s="118" t="s">
        <v>708</v>
      </c>
      <c r="D357" s="116">
        <v>275000000</v>
      </c>
      <c r="E357" s="609">
        <v>275000000</v>
      </c>
      <c r="F357" s="688">
        <f t="shared" si="16"/>
        <v>100</v>
      </c>
      <c r="G357" s="235">
        <v>100</v>
      </c>
      <c r="H357" s="183"/>
    </row>
    <row r="358" spans="2:8" ht="17.25" customHeight="1" x14ac:dyDescent="0.25">
      <c r="B358" s="190"/>
      <c r="C358" s="118" t="s">
        <v>1393</v>
      </c>
      <c r="D358" s="116">
        <v>190000000</v>
      </c>
      <c r="E358" s="609">
        <v>190000000</v>
      </c>
      <c r="F358" s="688">
        <f t="shared" si="16"/>
        <v>100</v>
      </c>
      <c r="G358" s="235">
        <v>100</v>
      </c>
      <c r="H358" s="183"/>
    </row>
    <row r="359" spans="2:8" ht="17.25" customHeight="1" x14ac:dyDescent="0.25">
      <c r="B359" s="190"/>
      <c r="C359" s="249" t="s">
        <v>179</v>
      </c>
      <c r="D359" s="195">
        <f>D360</f>
        <v>150000000</v>
      </c>
      <c r="E359" s="411">
        <f>E360</f>
        <v>147600000</v>
      </c>
      <c r="F359" s="688">
        <f t="shared" si="16"/>
        <v>98.4</v>
      </c>
      <c r="G359" s="110">
        <v>100</v>
      </c>
      <c r="H359" s="183"/>
    </row>
    <row r="360" spans="2:8" ht="17.25" customHeight="1" x14ac:dyDescent="0.25">
      <c r="B360" s="190"/>
      <c r="C360" s="118" t="s">
        <v>1394</v>
      </c>
      <c r="D360" s="116">
        <v>150000000</v>
      </c>
      <c r="E360" s="609">
        <v>147600000</v>
      </c>
      <c r="F360" s="609">
        <f t="shared" si="16"/>
        <v>98.4</v>
      </c>
      <c r="G360" s="235">
        <v>100</v>
      </c>
      <c r="H360" s="183"/>
    </row>
    <row r="361" spans="2:8" ht="17.25" customHeight="1" x14ac:dyDescent="0.25">
      <c r="B361" s="190"/>
      <c r="C361" s="249" t="s">
        <v>182</v>
      </c>
      <c r="D361" s="195">
        <f>SUM(D362:D368)</f>
        <v>1535000000</v>
      </c>
      <c r="E361" s="411">
        <f>SUM(E362:E368)</f>
        <v>1531014000</v>
      </c>
      <c r="F361" s="688">
        <f t="shared" si="16"/>
        <v>99.740325732899024</v>
      </c>
      <c r="G361" s="110">
        <v>100</v>
      </c>
      <c r="H361" s="183"/>
    </row>
    <row r="362" spans="2:8" ht="17.25" customHeight="1" x14ac:dyDescent="0.25">
      <c r="B362" s="190"/>
      <c r="C362" s="118" t="s">
        <v>1395</v>
      </c>
      <c r="D362" s="116">
        <v>100000000</v>
      </c>
      <c r="E362" s="609">
        <v>100000000</v>
      </c>
      <c r="F362" s="609">
        <f t="shared" si="16"/>
        <v>100</v>
      </c>
      <c r="G362" s="235">
        <v>100</v>
      </c>
      <c r="H362" s="183"/>
    </row>
    <row r="363" spans="2:8" ht="17.25" customHeight="1" x14ac:dyDescent="0.25">
      <c r="B363" s="190"/>
      <c r="C363" s="118" t="s">
        <v>1396</v>
      </c>
      <c r="D363" s="116">
        <v>100000000</v>
      </c>
      <c r="E363" s="609">
        <v>100000000</v>
      </c>
      <c r="F363" s="609">
        <f t="shared" si="16"/>
        <v>100</v>
      </c>
      <c r="G363" s="235">
        <v>100</v>
      </c>
      <c r="H363" s="183"/>
    </row>
    <row r="364" spans="2:8" ht="17.25" customHeight="1" x14ac:dyDescent="0.25">
      <c r="B364" s="190"/>
      <c r="C364" s="118" t="s">
        <v>1397</v>
      </c>
      <c r="D364" s="116">
        <v>650000000</v>
      </c>
      <c r="E364" s="609">
        <v>648846000</v>
      </c>
      <c r="F364" s="609">
        <f t="shared" si="16"/>
        <v>99.822461538461539</v>
      </c>
      <c r="G364" s="235">
        <v>100</v>
      </c>
      <c r="H364" s="183"/>
    </row>
    <row r="365" spans="2:8" ht="17.25" customHeight="1" x14ac:dyDescent="0.25">
      <c r="B365" s="190"/>
      <c r="C365" s="118" t="s">
        <v>1398</v>
      </c>
      <c r="D365" s="116">
        <v>250000000</v>
      </c>
      <c r="E365" s="419">
        <v>250000000</v>
      </c>
      <c r="F365" s="609">
        <f t="shared" si="16"/>
        <v>100</v>
      </c>
      <c r="G365" s="235">
        <v>100</v>
      </c>
      <c r="H365" s="183"/>
    </row>
    <row r="366" spans="2:8" ht="17.25" customHeight="1" x14ac:dyDescent="0.25">
      <c r="B366" s="190"/>
      <c r="C366" s="118" t="s">
        <v>1399</v>
      </c>
      <c r="D366" s="116">
        <v>100000000</v>
      </c>
      <c r="E366" s="609">
        <v>98100000</v>
      </c>
      <c r="F366" s="609">
        <f t="shared" si="16"/>
        <v>98.1</v>
      </c>
      <c r="G366" s="235">
        <v>100</v>
      </c>
      <c r="H366" s="183"/>
    </row>
    <row r="367" spans="2:8" ht="17.25" customHeight="1" x14ac:dyDescent="0.25">
      <c r="B367" s="190"/>
      <c r="C367" s="118" t="s">
        <v>1400</v>
      </c>
      <c r="D367" s="116">
        <v>135000000</v>
      </c>
      <c r="E367" s="609">
        <v>134968000</v>
      </c>
      <c r="F367" s="609">
        <f t="shared" si="16"/>
        <v>99.976296296296297</v>
      </c>
      <c r="G367" s="235">
        <v>100</v>
      </c>
      <c r="H367" s="183"/>
    </row>
    <row r="368" spans="2:8" ht="17.25" customHeight="1" x14ac:dyDescent="0.25">
      <c r="B368" s="190"/>
      <c r="C368" s="118" t="s">
        <v>1401</v>
      </c>
      <c r="D368" s="116">
        <v>200000000</v>
      </c>
      <c r="E368" s="609">
        <v>199100000</v>
      </c>
      <c r="F368" s="688">
        <f t="shared" si="16"/>
        <v>99.550000000000011</v>
      </c>
      <c r="G368" s="235">
        <v>100</v>
      </c>
      <c r="H368" s="183"/>
    </row>
    <row r="369" spans="2:8" ht="17.25" customHeight="1" x14ac:dyDescent="0.25">
      <c r="B369" s="190"/>
      <c r="C369" s="249" t="s">
        <v>1402</v>
      </c>
      <c r="D369" s="195">
        <f>D370</f>
        <v>410000000</v>
      </c>
      <c r="E369" s="411">
        <f>E370</f>
        <v>410000000</v>
      </c>
      <c r="F369" s="688">
        <f t="shared" si="16"/>
        <v>100</v>
      </c>
      <c r="G369" s="110">
        <v>100</v>
      </c>
      <c r="H369" s="183"/>
    </row>
    <row r="370" spans="2:8" ht="17.25" customHeight="1" x14ac:dyDescent="0.25">
      <c r="B370" s="190"/>
      <c r="C370" s="118" t="s">
        <v>1403</v>
      </c>
      <c r="D370" s="116">
        <v>410000000</v>
      </c>
      <c r="E370" s="609">
        <v>410000000</v>
      </c>
      <c r="F370" s="609">
        <f t="shared" si="16"/>
        <v>100</v>
      </c>
      <c r="G370" s="235">
        <v>100</v>
      </c>
      <c r="H370" s="183"/>
    </row>
    <row r="371" spans="2:8" ht="17.25" customHeight="1" x14ac:dyDescent="0.25">
      <c r="B371" s="190"/>
      <c r="C371" s="249" t="s">
        <v>720</v>
      </c>
      <c r="D371" s="195">
        <f>SUM(D372:D373)</f>
        <v>200000000</v>
      </c>
      <c r="E371" s="411">
        <f>SUM(E372:E373)</f>
        <v>200000000</v>
      </c>
      <c r="F371" s="688">
        <f t="shared" si="16"/>
        <v>100</v>
      </c>
      <c r="G371" s="110">
        <v>100</v>
      </c>
      <c r="H371" s="183"/>
    </row>
    <row r="372" spans="2:8" ht="17.25" customHeight="1" x14ac:dyDescent="0.25">
      <c r="B372" s="190"/>
      <c r="C372" s="118" t="s">
        <v>1404</v>
      </c>
      <c r="D372" s="116">
        <v>50000000</v>
      </c>
      <c r="E372" s="609">
        <v>50000000</v>
      </c>
      <c r="F372" s="609">
        <f t="shared" si="16"/>
        <v>100</v>
      </c>
      <c r="G372" s="235">
        <v>100</v>
      </c>
      <c r="H372" s="183"/>
    </row>
    <row r="373" spans="2:8" ht="17.25" customHeight="1" x14ac:dyDescent="0.25">
      <c r="B373" s="190"/>
      <c r="C373" s="118" t="s">
        <v>1405</v>
      </c>
      <c r="D373" s="116">
        <v>150000000</v>
      </c>
      <c r="E373" s="609">
        <v>150000000</v>
      </c>
      <c r="F373" s="609">
        <f t="shared" si="16"/>
        <v>100</v>
      </c>
      <c r="G373" s="235">
        <v>100</v>
      </c>
      <c r="H373" s="183"/>
    </row>
    <row r="374" spans="2:8" ht="17.25" customHeight="1" x14ac:dyDescent="0.25">
      <c r="B374" s="190"/>
      <c r="C374" s="118"/>
      <c r="D374" s="582"/>
      <c r="E374" s="690"/>
      <c r="F374" s="691"/>
      <c r="G374" s="117"/>
      <c r="H374" s="183"/>
    </row>
    <row r="375" spans="2:8" ht="17.25" customHeight="1" x14ac:dyDescent="0.25">
      <c r="B375" s="190"/>
      <c r="C375" s="249" t="s">
        <v>1406</v>
      </c>
      <c r="D375" s="125">
        <f>D376+D379+D382</f>
        <v>3283475750</v>
      </c>
      <c r="E375" s="411">
        <f>E376+E379+E382</f>
        <v>3171146460</v>
      </c>
      <c r="F375" s="688">
        <f t="shared" ref="F375:F383" si="17">E375/D375*100</f>
        <v>96.578951740392782</v>
      </c>
      <c r="G375" s="110">
        <v>100</v>
      </c>
      <c r="H375" s="183"/>
    </row>
    <row r="376" spans="2:8" ht="17.25" customHeight="1" x14ac:dyDescent="0.25">
      <c r="B376" s="190"/>
      <c r="C376" s="249" t="s">
        <v>156</v>
      </c>
      <c r="D376" s="125">
        <f>SUM(D377:D378)</f>
        <v>1605000000</v>
      </c>
      <c r="E376" s="411">
        <f>SUM(E377:E378)</f>
        <v>1598746000</v>
      </c>
      <c r="F376" s="688">
        <f t="shared" si="17"/>
        <v>99.610342679127726</v>
      </c>
      <c r="G376" s="110">
        <v>100</v>
      </c>
      <c r="H376" s="183"/>
    </row>
    <row r="377" spans="2:8" ht="17.25" customHeight="1" x14ac:dyDescent="0.25">
      <c r="B377" s="190"/>
      <c r="C377" s="118" t="s">
        <v>1381</v>
      </c>
      <c r="D377" s="582">
        <v>500000000</v>
      </c>
      <c r="E377" s="609">
        <v>499643000</v>
      </c>
      <c r="F377" s="609">
        <f t="shared" si="17"/>
        <v>99.928600000000003</v>
      </c>
      <c r="G377" s="235">
        <v>100</v>
      </c>
      <c r="H377" s="183"/>
    </row>
    <row r="378" spans="2:8" ht="17.25" customHeight="1" x14ac:dyDescent="0.25">
      <c r="B378" s="190"/>
      <c r="C378" s="118" t="s">
        <v>1382</v>
      </c>
      <c r="D378" s="582">
        <v>1105000000</v>
      </c>
      <c r="E378" s="609">
        <v>1099103000</v>
      </c>
      <c r="F378" s="609">
        <f t="shared" si="17"/>
        <v>99.466334841628949</v>
      </c>
      <c r="G378" s="235">
        <v>100</v>
      </c>
      <c r="H378" s="183"/>
    </row>
    <row r="379" spans="2:8" ht="17.25" customHeight="1" x14ac:dyDescent="0.25">
      <c r="B379" s="190"/>
      <c r="C379" s="249" t="s">
        <v>166</v>
      </c>
      <c r="D379" s="125">
        <f>SUM(D380:D381)</f>
        <v>1428475750</v>
      </c>
      <c r="E379" s="411">
        <f>SUM(E380:E381)</f>
        <v>1425032460</v>
      </c>
      <c r="F379" s="688">
        <f t="shared" si="17"/>
        <v>99.758953555914403</v>
      </c>
      <c r="G379" s="110">
        <v>100</v>
      </c>
      <c r="H379" s="183"/>
    </row>
    <row r="380" spans="2:8" ht="17.25" customHeight="1" x14ac:dyDescent="0.25">
      <c r="B380" s="190"/>
      <c r="C380" s="118" t="s">
        <v>1407</v>
      </c>
      <c r="D380" s="582">
        <v>1228475750</v>
      </c>
      <c r="E380" s="419">
        <v>1225032460</v>
      </c>
      <c r="F380" s="609">
        <f t="shared" si="17"/>
        <v>99.719710380933449</v>
      </c>
      <c r="G380" s="235">
        <v>100</v>
      </c>
      <c r="H380" s="183"/>
    </row>
    <row r="381" spans="2:8" ht="17.25" customHeight="1" x14ac:dyDescent="0.25">
      <c r="B381" s="190"/>
      <c r="C381" s="118" t="s">
        <v>1408</v>
      </c>
      <c r="D381" s="582">
        <v>200000000</v>
      </c>
      <c r="E381" s="609">
        <v>200000000</v>
      </c>
      <c r="F381" s="609">
        <f t="shared" si="17"/>
        <v>100</v>
      </c>
      <c r="G381" s="235">
        <v>100</v>
      </c>
      <c r="H381" s="183"/>
    </row>
    <row r="382" spans="2:8" ht="17.25" customHeight="1" x14ac:dyDescent="0.25">
      <c r="B382" s="190"/>
      <c r="C382" s="249" t="s">
        <v>182</v>
      </c>
      <c r="D382" s="125">
        <f>D383</f>
        <v>250000000</v>
      </c>
      <c r="E382" s="411">
        <f>E383</f>
        <v>147368000</v>
      </c>
      <c r="F382" s="688">
        <f t="shared" si="17"/>
        <v>58.947200000000002</v>
      </c>
      <c r="G382" s="110">
        <v>100</v>
      </c>
      <c r="H382" s="183"/>
    </row>
    <row r="383" spans="2:8" ht="17.25" customHeight="1" x14ac:dyDescent="0.25">
      <c r="B383" s="190"/>
      <c r="C383" s="118" t="s">
        <v>1397</v>
      </c>
      <c r="D383" s="582">
        <v>250000000</v>
      </c>
      <c r="E383" s="419">
        <v>147368000</v>
      </c>
      <c r="F383" s="688">
        <f t="shared" si="17"/>
        <v>58.947200000000002</v>
      </c>
      <c r="G383" s="235">
        <v>100</v>
      </c>
      <c r="H383" s="183"/>
    </row>
    <row r="384" spans="2:8" ht="17.25" customHeight="1" x14ac:dyDescent="0.25">
      <c r="B384" s="179"/>
      <c r="C384" s="183"/>
      <c r="D384" s="181"/>
      <c r="E384" s="181"/>
      <c r="F384" s="53"/>
      <c r="G384" s="117"/>
      <c r="H384" s="183"/>
    </row>
    <row r="385" spans="2:8" ht="17.25" customHeight="1" x14ac:dyDescent="0.25">
      <c r="B385" s="191" t="s">
        <v>1501</v>
      </c>
      <c r="C385" s="48" t="s">
        <v>1502</v>
      </c>
      <c r="D385" s="185">
        <f>D386</f>
        <v>15015628950</v>
      </c>
      <c r="E385" s="185">
        <f>+E386</f>
        <v>10973449870</v>
      </c>
      <c r="F385" s="186">
        <f>E385/D385*100</f>
        <v>73.080188026356367</v>
      </c>
      <c r="G385" s="114">
        <f>G386</f>
        <v>52.368279216902657</v>
      </c>
      <c r="H385" s="183"/>
    </row>
    <row r="386" spans="2:8" ht="17.25" customHeight="1" x14ac:dyDescent="0.25">
      <c r="B386" s="190"/>
      <c r="C386" s="121" t="s">
        <v>150</v>
      </c>
      <c r="D386" s="251">
        <f>+D387+D393+D400+D402+D407+D412+D415+D429+D431+D438+D440</f>
        <v>15015628950</v>
      </c>
      <c r="E386" s="422">
        <f>+E387+E393+E400+E402+E407+E412+E415+E429+E431+E438+E440</f>
        <v>10973449870</v>
      </c>
      <c r="F386" s="692">
        <f t="shared" ref="F386:F444" si="18">+E386/D386*100</f>
        <v>73.080188026356367</v>
      </c>
      <c r="G386" s="331">
        <f>(G387+G393+G400+G402+G407+G412+G415+G429+G431+G438+G440)/10</f>
        <v>52.368279216902657</v>
      </c>
      <c r="H386" s="183"/>
    </row>
    <row r="387" spans="2:8" ht="17.25" customHeight="1" x14ac:dyDescent="0.25">
      <c r="B387" s="190"/>
      <c r="C387" s="121" t="s">
        <v>156</v>
      </c>
      <c r="D387" s="251">
        <f>SUM(D388:D392)</f>
        <v>2286000000</v>
      </c>
      <c r="E387" s="422">
        <f>SUM(E388:E392)</f>
        <v>1678217870</v>
      </c>
      <c r="F387" s="692">
        <f t="shared" si="18"/>
        <v>73.4128552055993</v>
      </c>
      <c r="G387" s="331">
        <v>75</v>
      </c>
      <c r="H387" s="183"/>
    </row>
    <row r="388" spans="2:8" ht="17.25" customHeight="1" x14ac:dyDescent="0.25">
      <c r="B388" s="190"/>
      <c r="C388" s="118" t="s">
        <v>1535</v>
      </c>
      <c r="D388" s="252">
        <v>1700000000</v>
      </c>
      <c r="E388" s="296">
        <v>1678217870</v>
      </c>
      <c r="F388" s="693">
        <f t="shared" si="18"/>
        <v>98.718698235294127</v>
      </c>
      <c r="G388" s="365">
        <v>100</v>
      </c>
      <c r="H388" s="183"/>
    </row>
    <row r="389" spans="2:8" ht="17.25" customHeight="1" x14ac:dyDescent="0.25">
      <c r="B389" s="190"/>
      <c r="C389" s="118" t="s">
        <v>1536</v>
      </c>
      <c r="D389" s="252">
        <v>250000000</v>
      </c>
      <c r="E389" s="296">
        <v>0</v>
      </c>
      <c r="F389" s="693">
        <f t="shared" si="18"/>
        <v>0</v>
      </c>
      <c r="G389" s="365">
        <f>F389</f>
        <v>0</v>
      </c>
      <c r="H389" s="183"/>
    </row>
    <row r="390" spans="2:8" ht="17.25" customHeight="1" x14ac:dyDescent="0.25">
      <c r="B390" s="190"/>
      <c r="C390" s="118" t="s">
        <v>1537</v>
      </c>
      <c r="D390" s="252">
        <v>150000000</v>
      </c>
      <c r="E390" s="296">
        <v>0</v>
      </c>
      <c r="F390" s="693">
        <f t="shared" si="18"/>
        <v>0</v>
      </c>
      <c r="G390" s="365">
        <f>F390</f>
        <v>0</v>
      </c>
      <c r="H390" s="183"/>
    </row>
    <row r="391" spans="2:8" ht="25.5" customHeight="1" x14ac:dyDescent="0.25">
      <c r="B391" s="190"/>
      <c r="C391" s="118" t="s">
        <v>1538</v>
      </c>
      <c r="D391" s="252">
        <v>36000000</v>
      </c>
      <c r="E391" s="296">
        <v>0</v>
      </c>
      <c r="F391" s="693">
        <f t="shared" si="18"/>
        <v>0</v>
      </c>
      <c r="G391" s="365">
        <f>F391</f>
        <v>0</v>
      </c>
      <c r="H391" s="183"/>
    </row>
    <row r="392" spans="2:8" ht="17.25" customHeight="1" x14ac:dyDescent="0.25">
      <c r="B392" s="190"/>
      <c r="C392" s="118" t="s">
        <v>1539</v>
      </c>
      <c r="D392" s="252">
        <v>150000000</v>
      </c>
      <c r="E392" s="296">
        <v>0</v>
      </c>
      <c r="F392" s="693">
        <f t="shared" si="18"/>
        <v>0</v>
      </c>
      <c r="G392" s="365">
        <f>F392</f>
        <v>0</v>
      </c>
      <c r="H392" s="183"/>
    </row>
    <row r="393" spans="2:8" ht="17.25" customHeight="1" x14ac:dyDescent="0.25">
      <c r="B393" s="190"/>
      <c r="C393" s="121" t="s">
        <v>166</v>
      </c>
      <c r="D393" s="251">
        <f>SUM(D394:D399)</f>
        <v>3806290000</v>
      </c>
      <c r="E393" s="422">
        <f>SUM(E394:E399)</f>
        <v>3513790000</v>
      </c>
      <c r="F393" s="692">
        <f t="shared" si="18"/>
        <v>92.315351694169394</v>
      </c>
      <c r="G393" s="331">
        <f>SUM(G394:G399)/4</f>
        <v>92.5</v>
      </c>
      <c r="H393" s="183"/>
    </row>
    <row r="394" spans="2:8" ht="17.25" customHeight="1" x14ac:dyDescent="0.25">
      <c r="B394" s="190"/>
      <c r="C394" s="118" t="s">
        <v>1540</v>
      </c>
      <c r="D394" s="252">
        <v>150000000</v>
      </c>
      <c r="E394" s="296">
        <v>0</v>
      </c>
      <c r="F394" s="693">
        <f t="shared" si="18"/>
        <v>0</v>
      </c>
      <c r="G394" s="365">
        <f t="shared" ref="G394:G399" si="19">F394</f>
        <v>0</v>
      </c>
      <c r="H394" s="183"/>
    </row>
    <row r="395" spans="2:8" ht="27" customHeight="1" x14ac:dyDescent="0.25">
      <c r="B395" s="190"/>
      <c r="C395" s="118" t="s">
        <v>1541</v>
      </c>
      <c r="D395" s="252">
        <v>285000000</v>
      </c>
      <c r="E395" s="296">
        <v>285000000</v>
      </c>
      <c r="F395" s="693">
        <f t="shared" si="18"/>
        <v>100</v>
      </c>
      <c r="G395" s="365">
        <f t="shared" si="19"/>
        <v>100</v>
      </c>
      <c r="H395" s="183"/>
    </row>
    <row r="396" spans="2:8" ht="17.25" customHeight="1" x14ac:dyDescent="0.25">
      <c r="B396" s="190"/>
      <c r="C396" s="118" t="s">
        <v>1542</v>
      </c>
      <c r="D396" s="252">
        <v>1962000000</v>
      </c>
      <c r="E396" s="296">
        <v>1962000000</v>
      </c>
      <c r="F396" s="693">
        <f t="shared" si="18"/>
        <v>100</v>
      </c>
      <c r="G396" s="365">
        <f t="shared" si="19"/>
        <v>100</v>
      </c>
      <c r="H396" s="183"/>
    </row>
    <row r="397" spans="2:8" ht="32.25" customHeight="1" x14ac:dyDescent="0.25">
      <c r="B397" s="190"/>
      <c r="C397" s="118" t="s">
        <v>1543</v>
      </c>
      <c r="D397" s="252">
        <v>110000000</v>
      </c>
      <c r="E397" s="296">
        <v>0</v>
      </c>
      <c r="F397" s="693">
        <f t="shared" si="18"/>
        <v>0</v>
      </c>
      <c r="G397" s="365">
        <f t="shared" si="19"/>
        <v>0</v>
      </c>
      <c r="H397" s="183"/>
    </row>
    <row r="398" spans="2:8" ht="17.25" customHeight="1" x14ac:dyDescent="0.25">
      <c r="B398" s="190"/>
      <c r="C398" s="118" t="s">
        <v>1544</v>
      </c>
      <c r="D398" s="252">
        <v>80000000</v>
      </c>
      <c r="E398" s="296">
        <v>47500000</v>
      </c>
      <c r="F398" s="693">
        <f t="shared" si="18"/>
        <v>59.375</v>
      </c>
      <c r="G398" s="365">
        <v>70</v>
      </c>
      <c r="H398" s="183"/>
    </row>
    <row r="399" spans="2:8" ht="17.25" customHeight="1" x14ac:dyDescent="0.25">
      <c r="B399" s="190"/>
      <c r="C399" s="118" t="s">
        <v>1545</v>
      </c>
      <c r="D399" s="252">
        <v>1219290000</v>
      </c>
      <c r="E399" s="296">
        <v>1219290000</v>
      </c>
      <c r="F399" s="693">
        <f t="shared" si="18"/>
        <v>100</v>
      </c>
      <c r="G399" s="365">
        <f t="shared" si="19"/>
        <v>100</v>
      </c>
      <c r="H399" s="183"/>
    </row>
    <row r="400" spans="2:8" ht="17.25" customHeight="1" x14ac:dyDescent="0.25">
      <c r="B400" s="190"/>
      <c r="C400" s="121" t="s">
        <v>1387</v>
      </c>
      <c r="D400" s="251">
        <f>+D401</f>
        <v>250000000</v>
      </c>
      <c r="E400" s="422">
        <f>+E401</f>
        <v>0</v>
      </c>
      <c r="F400" s="692">
        <f t="shared" si="18"/>
        <v>0</v>
      </c>
      <c r="G400" s="331">
        <f>+G401</f>
        <v>0</v>
      </c>
      <c r="H400" s="183"/>
    </row>
    <row r="401" spans="2:8" ht="17.25" customHeight="1" x14ac:dyDescent="0.25">
      <c r="B401" s="190"/>
      <c r="C401" s="118" t="s">
        <v>1546</v>
      </c>
      <c r="D401" s="252">
        <v>250000000</v>
      </c>
      <c r="E401" s="296">
        <v>0</v>
      </c>
      <c r="F401" s="693">
        <f t="shared" si="18"/>
        <v>0</v>
      </c>
      <c r="G401" s="365">
        <f>F401</f>
        <v>0</v>
      </c>
      <c r="H401" s="183"/>
    </row>
    <row r="402" spans="2:8" ht="17.25" customHeight="1" x14ac:dyDescent="0.25">
      <c r="B402" s="190"/>
      <c r="C402" s="121" t="s">
        <v>175</v>
      </c>
      <c r="D402" s="251">
        <f>SUM(D403:D406)</f>
        <v>415000000</v>
      </c>
      <c r="E402" s="422">
        <f>SUM(E403:E406)</f>
        <v>87350000</v>
      </c>
      <c r="F402" s="692">
        <f t="shared" si="18"/>
        <v>21.048192771084338</v>
      </c>
      <c r="G402" s="331">
        <f>SUM(G403:G406)/4</f>
        <v>21.837500000000002</v>
      </c>
      <c r="H402" s="183"/>
    </row>
    <row r="403" spans="2:8" ht="17.25" customHeight="1" x14ac:dyDescent="0.25">
      <c r="B403" s="190"/>
      <c r="C403" s="118" t="s">
        <v>1547</v>
      </c>
      <c r="D403" s="252">
        <v>100000000</v>
      </c>
      <c r="E403" s="296">
        <v>87350000</v>
      </c>
      <c r="F403" s="693">
        <f t="shared" si="18"/>
        <v>87.350000000000009</v>
      </c>
      <c r="G403" s="365">
        <f>F403</f>
        <v>87.350000000000009</v>
      </c>
      <c r="H403" s="183"/>
    </row>
    <row r="404" spans="2:8" ht="17.25" customHeight="1" x14ac:dyDescent="0.25">
      <c r="B404" s="190"/>
      <c r="C404" s="118" t="s">
        <v>1548</v>
      </c>
      <c r="D404" s="252">
        <v>100000000</v>
      </c>
      <c r="E404" s="296">
        <v>0</v>
      </c>
      <c r="F404" s="693">
        <f t="shared" si="18"/>
        <v>0</v>
      </c>
      <c r="G404" s="365">
        <f>F404</f>
        <v>0</v>
      </c>
      <c r="H404" s="183"/>
    </row>
    <row r="405" spans="2:8" ht="17.25" customHeight="1" x14ac:dyDescent="0.25">
      <c r="B405" s="190"/>
      <c r="C405" s="118" t="s">
        <v>1549</v>
      </c>
      <c r="D405" s="252">
        <v>185000000</v>
      </c>
      <c r="E405" s="296">
        <v>0</v>
      </c>
      <c r="F405" s="693">
        <f t="shared" si="18"/>
        <v>0</v>
      </c>
      <c r="G405" s="365">
        <f>F405</f>
        <v>0</v>
      </c>
      <c r="H405" s="183"/>
    </row>
    <row r="406" spans="2:8" ht="17.25" customHeight="1" x14ac:dyDescent="0.25">
      <c r="B406" s="190"/>
      <c r="C406" s="118" t="s">
        <v>1550</v>
      </c>
      <c r="D406" s="252">
        <v>30000000</v>
      </c>
      <c r="E406" s="296">
        <v>0</v>
      </c>
      <c r="F406" s="693">
        <f t="shared" si="18"/>
        <v>0</v>
      </c>
      <c r="G406" s="365">
        <f>F406</f>
        <v>0</v>
      </c>
      <c r="H406" s="183"/>
    </row>
    <row r="407" spans="2:8" ht="17.25" customHeight="1" x14ac:dyDescent="0.25">
      <c r="B407" s="190"/>
      <c r="C407" s="121" t="s">
        <v>177</v>
      </c>
      <c r="D407" s="251">
        <f>SUM(D408:D411)</f>
        <v>935250000</v>
      </c>
      <c r="E407" s="422">
        <f>SUM(E408:E411)</f>
        <v>633749000</v>
      </c>
      <c r="F407" s="692">
        <f t="shared" si="18"/>
        <v>67.762523389468058</v>
      </c>
      <c r="G407" s="331">
        <f>SUM(G408:G411)/4</f>
        <v>69.974955664161726</v>
      </c>
      <c r="H407" s="183"/>
    </row>
    <row r="408" spans="2:8" ht="17.25" customHeight="1" x14ac:dyDescent="0.25">
      <c r="B408" s="190"/>
      <c r="C408" s="118" t="s">
        <v>1551</v>
      </c>
      <c r="D408" s="252">
        <v>256500000</v>
      </c>
      <c r="E408" s="296">
        <v>0</v>
      </c>
      <c r="F408" s="693">
        <f t="shared" si="18"/>
        <v>0</v>
      </c>
      <c r="G408" s="365">
        <f>F408</f>
        <v>0</v>
      </c>
      <c r="H408" s="183"/>
    </row>
    <row r="409" spans="2:8" ht="29.25" customHeight="1" x14ac:dyDescent="0.25">
      <c r="B409" s="190"/>
      <c r="C409" s="118" t="s">
        <v>1552</v>
      </c>
      <c r="D409" s="252">
        <v>216000000</v>
      </c>
      <c r="E409" s="296">
        <v>194358000</v>
      </c>
      <c r="F409" s="693">
        <f t="shared" si="18"/>
        <v>89.980555555555554</v>
      </c>
      <c r="G409" s="365">
        <f>F409</f>
        <v>89.980555555555554</v>
      </c>
      <c r="H409" s="183"/>
    </row>
    <row r="410" spans="2:8" ht="17.25" customHeight="1" x14ac:dyDescent="0.25">
      <c r="B410" s="190"/>
      <c r="C410" s="118" t="s">
        <v>1553</v>
      </c>
      <c r="D410" s="252">
        <v>237250000</v>
      </c>
      <c r="E410" s="296">
        <v>224591000</v>
      </c>
      <c r="F410" s="693">
        <f t="shared" si="18"/>
        <v>94.664278187565856</v>
      </c>
      <c r="G410" s="365">
        <f>F410</f>
        <v>94.664278187565856</v>
      </c>
      <c r="H410" s="183"/>
    </row>
    <row r="411" spans="2:8" ht="27" customHeight="1" x14ac:dyDescent="0.25">
      <c r="B411" s="190"/>
      <c r="C411" s="118" t="s">
        <v>1554</v>
      </c>
      <c r="D411" s="252">
        <v>225500000</v>
      </c>
      <c r="E411" s="296">
        <v>214800000</v>
      </c>
      <c r="F411" s="693">
        <f t="shared" si="18"/>
        <v>95.254988913525494</v>
      </c>
      <c r="G411" s="365">
        <f>F411</f>
        <v>95.254988913525494</v>
      </c>
      <c r="H411" s="183"/>
    </row>
    <row r="412" spans="2:8" ht="17.25" customHeight="1" x14ac:dyDescent="0.25">
      <c r="B412" s="190"/>
      <c r="C412" s="121" t="s">
        <v>179</v>
      </c>
      <c r="D412" s="251">
        <f>SUM(D413:D414)</f>
        <v>566500000</v>
      </c>
      <c r="E412" s="422">
        <f>SUM(E413:E414)</f>
        <v>516500000</v>
      </c>
      <c r="F412" s="692">
        <f t="shared" si="18"/>
        <v>91.173874669020307</v>
      </c>
      <c r="G412" s="331">
        <f>+G413</f>
        <v>100</v>
      </c>
      <c r="H412" s="183"/>
    </row>
    <row r="413" spans="2:8" ht="17.25" customHeight="1" x14ac:dyDescent="0.25">
      <c r="B413" s="190"/>
      <c r="C413" s="118" t="s">
        <v>1555</v>
      </c>
      <c r="D413" s="252">
        <v>516500000</v>
      </c>
      <c r="E413" s="296">
        <v>516500000</v>
      </c>
      <c r="F413" s="693">
        <f t="shared" si="18"/>
        <v>100</v>
      </c>
      <c r="G413" s="365">
        <f>F413</f>
        <v>100</v>
      </c>
      <c r="H413" s="183"/>
    </row>
    <row r="414" spans="2:8" ht="17.25" customHeight="1" x14ac:dyDescent="0.25">
      <c r="B414" s="190"/>
      <c r="C414" s="118" t="s">
        <v>1556</v>
      </c>
      <c r="D414" s="252">
        <v>50000000</v>
      </c>
      <c r="E414" s="296">
        <v>0</v>
      </c>
      <c r="F414" s="693">
        <f t="shared" si="18"/>
        <v>0</v>
      </c>
      <c r="G414" s="365">
        <f>F414</f>
        <v>0</v>
      </c>
      <c r="H414" s="183"/>
    </row>
    <row r="415" spans="2:8" ht="17.25" customHeight="1" x14ac:dyDescent="0.25">
      <c r="B415" s="190"/>
      <c r="C415" s="121" t="s">
        <v>182</v>
      </c>
      <c r="D415" s="251">
        <f>SUM(D416:D428)</f>
        <v>1355473950</v>
      </c>
      <c r="E415" s="422">
        <f>SUM(E416:E428)</f>
        <v>197043000</v>
      </c>
      <c r="F415" s="692">
        <f t="shared" si="18"/>
        <v>14.536834145724454</v>
      </c>
      <c r="G415" s="331">
        <f>SUM(G416:G428)/13</f>
        <v>15.20366983819814</v>
      </c>
      <c r="H415" s="183"/>
    </row>
    <row r="416" spans="2:8" ht="17.25" customHeight="1" x14ac:dyDescent="0.25">
      <c r="B416" s="190"/>
      <c r="C416" s="118" t="s">
        <v>1557</v>
      </c>
      <c r="D416" s="252">
        <v>39000000</v>
      </c>
      <c r="E416" s="296">
        <v>0</v>
      </c>
      <c r="F416" s="693">
        <f t="shared" si="18"/>
        <v>0</v>
      </c>
      <c r="G416" s="365">
        <f t="shared" ref="G416:G428" si="20">F416</f>
        <v>0</v>
      </c>
      <c r="H416" s="183"/>
    </row>
    <row r="417" spans="2:8" ht="30.75" customHeight="1" x14ac:dyDescent="0.25">
      <c r="B417" s="190"/>
      <c r="C417" s="118" t="s">
        <v>1558</v>
      </c>
      <c r="D417" s="252">
        <v>108000000</v>
      </c>
      <c r="E417" s="296">
        <v>40000000</v>
      </c>
      <c r="F417" s="693">
        <f t="shared" si="18"/>
        <v>37.037037037037038</v>
      </c>
      <c r="G417" s="365">
        <f t="shared" si="20"/>
        <v>37.037037037037038</v>
      </c>
      <c r="H417" s="183"/>
    </row>
    <row r="418" spans="2:8" ht="17.25" customHeight="1" x14ac:dyDescent="0.25">
      <c r="B418" s="190"/>
      <c r="C418" s="118" t="s">
        <v>1559</v>
      </c>
      <c r="D418" s="252">
        <v>60000000</v>
      </c>
      <c r="E418" s="296">
        <v>60000000</v>
      </c>
      <c r="F418" s="693">
        <f t="shared" si="18"/>
        <v>100</v>
      </c>
      <c r="G418" s="365">
        <f t="shared" si="20"/>
        <v>100</v>
      </c>
      <c r="H418" s="183"/>
    </row>
    <row r="419" spans="2:8" ht="17.25" customHeight="1" x14ac:dyDescent="0.25">
      <c r="B419" s="190"/>
      <c r="C419" s="118" t="s">
        <v>1560</v>
      </c>
      <c r="D419" s="252">
        <v>102900000</v>
      </c>
      <c r="E419" s="296">
        <v>0</v>
      </c>
      <c r="F419" s="693">
        <f t="shared" si="18"/>
        <v>0</v>
      </c>
      <c r="G419" s="365">
        <f t="shared" si="20"/>
        <v>0</v>
      </c>
      <c r="H419" s="183"/>
    </row>
    <row r="420" spans="2:8" ht="17.25" customHeight="1" x14ac:dyDescent="0.25">
      <c r="B420" s="190"/>
      <c r="C420" s="118" t="s">
        <v>1561</v>
      </c>
      <c r="D420" s="252">
        <v>180000000</v>
      </c>
      <c r="E420" s="296">
        <v>87506000</v>
      </c>
      <c r="F420" s="693">
        <f t="shared" si="18"/>
        <v>48.614444444444445</v>
      </c>
      <c r="G420" s="365">
        <f t="shared" si="20"/>
        <v>48.614444444444445</v>
      </c>
      <c r="H420" s="183"/>
    </row>
    <row r="421" spans="2:8" ht="17.25" customHeight="1" x14ac:dyDescent="0.25">
      <c r="B421" s="190"/>
      <c r="C421" s="118" t="s">
        <v>1562</v>
      </c>
      <c r="D421" s="252">
        <v>60000000</v>
      </c>
      <c r="E421" s="296">
        <v>0</v>
      </c>
      <c r="F421" s="693">
        <f t="shared" si="18"/>
        <v>0</v>
      </c>
      <c r="G421" s="365">
        <f t="shared" si="20"/>
        <v>0</v>
      </c>
      <c r="H421" s="183"/>
    </row>
    <row r="422" spans="2:8" ht="17.25" customHeight="1" x14ac:dyDescent="0.25">
      <c r="B422" s="190"/>
      <c r="C422" s="118" t="s">
        <v>1563</v>
      </c>
      <c r="D422" s="252">
        <v>79500000</v>
      </c>
      <c r="E422" s="296">
        <v>9537000</v>
      </c>
      <c r="F422" s="693">
        <f t="shared" si="18"/>
        <v>11.996226415094339</v>
      </c>
      <c r="G422" s="365">
        <f t="shared" si="20"/>
        <v>11.996226415094339</v>
      </c>
      <c r="H422" s="183"/>
    </row>
    <row r="423" spans="2:8" ht="17.25" customHeight="1" x14ac:dyDescent="0.25">
      <c r="B423" s="190"/>
      <c r="C423" s="118" t="s">
        <v>1564</v>
      </c>
      <c r="D423" s="252">
        <v>165600000</v>
      </c>
      <c r="E423" s="296">
        <v>0</v>
      </c>
      <c r="F423" s="693">
        <f t="shared" si="18"/>
        <v>0</v>
      </c>
      <c r="G423" s="365">
        <f t="shared" si="20"/>
        <v>0</v>
      </c>
      <c r="H423" s="183"/>
    </row>
    <row r="424" spans="2:8" ht="17.25" customHeight="1" x14ac:dyDescent="0.25">
      <c r="B424" s="190"/>
      <c r="C424" s="118" t="s">
        <v>1565</v>
      </c>
      <c r="D424" s="252">
        <v>210000000</v>
      </c>
      <c r="E424" s="296">
        <v>0</v>
      </c>
      <c r="F424" s="693">
        <f t="shared" si="18"/>
        <v>0</v>
      </c>
      <c r="G424" s="365">
        <f t="shared" si="20"/>
        <v>0</v>
      </c>
      <c r="H424" s="183"/>
    </row>
    <row r="425" spans="2:8" ht="17.25" customHeight="1" x14ac:dyDescent="0.25">
      <c r="B425" s="190"/>
      <c r="C425" s="118" t="s">
        <v>1566</v>
      </c>
      <c r="D425" s="252">
        <v>150000000</v>
      </c>
      <c r="E425" s="296">
        <v>0</v>
      </c>
      <c r="F425" s="693">
        <f t="shared" si="18"/>
        <v>0</v>
      </c>
      <c r="G425" s="365">
        <f t="shared" si="20"/>
        <v>0</v>
      </c>
      <c r="H425" s="183"/>
    </row>
    <row r="426" spans="2:8" ht="17.25" customHeight="1" x14ac:dyDescent="0.25">
      <c r="B426" s="190"/>
      <c r="C426" s="118" t="s">
        <v>1567</v>
      </c>
      <c r="D426" s="252">
        <v>61722500</v>
      </c>
      <c r="E426" s="296">
        <v>0</v>
      </c>
      <c r="F426" s="693">
        <f t="shared" si="18"/>
        <v>0</v>
      </c>
      <c r="G426" s="365">
        <f t="shared" si="20"/>
        <v>0</v>
      </c>
      <c r="H426" s="183"/>
    </row>
    <row r="427" spans="2:8" ht="17.25" customHeight="1" x14ac:dyDescent="0.25">
      <c r="B427" s="190"/>
      <c r="C427" s="118" t="s">
        <v>1568</v>
      </c>
      <c r="D427" s="252">
        <v>75000000</v>
      </c>
      <c r="E427" s="296">
        <v>0</v>
      </c>
      <c r="F427" s="693">
        <f t="shared" si="18"/>
        <v>0</v>
      </c>
      <c r="G427" s="365">
        <f t="shared" si="20"/>
        <v>0</v>
      </c>
      <c r="H427" s="183"/>
    </row>
    <row r="428" spans="2:8" ht="17.25" customHeight="1" x14ac:dyDescent="0.25">
      <c r="B428" s="190"/>
      <c r="C428" s="118" t="s">
        <v>1569</v>
      </c>
      <c r="D428" s="252">
        <v>63751450</v>
      </c>
      <c r="E428" s="296">
        <v>0</v>
      </c>
      <c r="F428" s="693">
        <f t="shared" si="18"/>
        <v>0</v>
      </c>
      <c r="G428" s="365">
        <f t="shared" si="20"/>
        <v>0</v>
      </c>
      <c r="H428" s="183"/>
    </row>
    <row r="429" spans="2:8" ht="17.25" customHeight="1" x14ac:dyDescent="0.25">
      <c r="B429" s="190"/>
      <c r="C429" s="121" t="s">
        <v>1570</v>
      </c>
      <c r="D429" s="251">
        <f>+D430</f>
        <v>137945000</v>
      </c>
      <c r="E429" s="422">
        <f>+E430</f>
        <v>54700000</v>
      </c>
      <c r="F429" s="692">
        <f t="shared" si="18"/>
        <v>39.653485084635179</v>
      </c>
      <c r="G429" s="331">
        <f>+G430</f>
        <v>40</v>
      </c>
      <c r="H429" s="183"/>
    </row>
    <row r="430" spans="2:8" ht="17.25" customHeight="1" x14ac:dyDescent="0.25">
      <c r="B430" s="190"/>
      <c r="C430" s="118" t="s">
        <v>1571</v>
      </c>
      <c r="D430" s="252">
        <v>137945000</v>
      </c>
      <c r="E430" s="296">
        <v>54700000</v>
      </c>
      <c r="F430" s="693">
        <f t="shared" si="18"/>
        <v>39.653485084635179</v>
      </c>
      <c r="G430" s="365">
        <v>40</v>
      </c>
      <c r="H430" s="183"/>
    </row>
    <row r="431" spans="2:8" ht="17.25" customHeight="1" x14ac:dyDescent="0.25">
      <c r="B431" s="190"/>
      <c r="C431" s="121" t="s">
        <v>720</v>
      </c>
      <c r="D431" s="251">
        <f>SUM(D432:D437)</f>
        <v>575170000</v>
      </c>
      <c r="E431" s="422">
        <f>SUM(E432:E437)</f>
        <v>49500000</v>
      </c>
      <c r="F431" s="692">
        <f t="shared" si="18"/>
        <v>8.6061512248552603</v>
      </c>
      <c r="G431" s="331">
        <f>SUM(G432:G437)/3</f>
        <v>9.1666666666666679</v>
      </c>
      <c r="H431" s="183"/>
    </row>
    <row r="432" spans="2:8" ht="17.25" customHeight="1" x14ac:dyDescent="0.25">
      <c r="B432" s="190"/>
      <c r="C432" s="118" t="s">
        <v>1572</v>
      </c>
      <c r="D432" s="252">
        <v>60000000</v>
      </c>
      <c r="E432" s="296">
        <v>0</v>
      </c>
      <c r="F432" s="693">
        <f t="shared" si="18"/>
        <v>0</v>
      </c>
      <c r="G432" s="365">
        <f t="shared" ref="G432:G437" si="21">F432</f>
        <v>0</v>
      </c>
      <c r="H432" s="183"/>
    </row>
    <row r="433" spans="2:8" ht="28.5" customHeight="1" x14ac:dyDescent="0.25">
      <c r="B433" s="190"/>
      <c r="C433" s="118" t="s">
        <v>1573</v>
      </c>
      <c r="D433" s="252">
        <v>150000000</v>
      </c>
      <c r="E433" s="296">
        <v>0</v>
      </c>
      <c r="F433" s="693">
        <f t="shared" si="18"/>
        <v>0</v>
      </c>
      <c r="G433" s="365">
        <f t="shared" si="21"/>
        <v>0</v>
      </c>
      <c r="H433" s="183"/>
    </row>
    <row r="434" spans="2:8" ht="28.5" customHeight="1" x14ac:dyDescent="0.25">
      <c r="B434" s="190"/>
      <c r="C434" s="118" t="s">
        <v>1574</v>
      </c>
      <c r="D434" s="252">
        <v>54000000</v>
      </c>
      <c r="E434" s="296">
        <v>0</v>
      </c>
      <c r="F434" s="693">
        <f t="shared" si="18"/>
        <v>0</v>
      </c>
      <c r="G434" s="365">
        <f t="shared" si="21"/>
        <v>0</v>
      </c>
      <c r="H434" s="183"/>
    </row>
    <row r="435" spans="2:8" ht="17.25" customHeight="1" x14ac:dyDescent="0.25">
      <c r="B435" s="190"/>
      <c r="C435" s="118" t="s">
        <v>1575</v>
      </c>
      <c r="D435" s="252">
        <v>60000000</v>
      </c>
      <c r="E435" s="296">
        <v>0</v>
      </c>
      <c r="F435" s="693">
        <f t="shared" si="18"/>
        <v>0</v>
      </c>
      <c r="G435" s="365">
        <f t="shared" si="21"/>
        <v>0</v>
      </c>
      <c r="H435" s="183"/>
    </row>
    <row r="436" spans="2:8" ht="17.25" customHeight="1" x14ac:dyDescent="0.25">
      <c r="B436" s="190"/>
      <c r="C436" s="118" t="s">
        <v>1576</v>
      </c>
      <c r="D436" s="252">
        <v>71170000</v>
      </c>
      <c r="E436" s="296">
        <v>0</v>
      </c>
      <c r="F436" s="693">
        <f t="shared" si="18"/>
        <v>0</v>
      </c>
      <c r="G436" s="365">
        <f t="shared" si="21"/>
        <v>0</v>
      </c>
      <c r="H436" s="183"/>
    </row>
    <row r="437" spans="2:8" ht="17.25" customHeight="1" x14ac:dyDescent="0.25">
      <c r="B437" s="190"/>
      <c r="C437" s="118" t="s">
        <v>1577</v>
      </c>
      <c r="D437" s="252">
        <v>180000000</v>
      </c>
      <c r="E437" s="296">
        <v>49500000</v>
      </c>
      <c r="F437" s="693">
        <f t="shared" si="18"/>
        <v>27.500000000000004</v>
      </c>
      <c r="G437" s="365">
        <f t="shared" si="21"/>
        <v>27.500000000000004</v>
      </c>
      <c r="H437" s="183"/>
    </row>
    <row r="438" spans="2:8" ht="17.25" customHeight="1" x14ac:dyDescent="0.25">
      <c r="B438" s="190"/>
      <c r="C438" s="121" t="s">
        <v>1578</v>
      </c>
      <c r="D438" s="251">
        <f>+D439</f>
        <v>220000000</v>
      </c>
      <c r="E438" s="422">
        <f>+E439</f>
        <v>0</v>
      </c>
      <c r="F438" s="692">
        <f t="shared" si="18"/>
        <v>0</v>
      </c>
      <c r="G438" s="331">
        <f>+G439</f>
        <v>0</v>
      </c>
      <c r="H438" s="183"/>
    </row>
    <row r="439" spans="2:8" ht="30" customHeight="1" x14ac:dyDescent="0.25">
      <c r="B439" s="190"/>
      <c r="C439" s="118" t="s">
        <v>1579</v>
      </c>
      <c r="D439" s="252">
        <v>220000000</v>
      </c>
      <c r="E439" s="296">
        <v>0</v>
      </c>
      <c r="F439" s="693">
        <f t="shared" si="18"/>
        <v>0</v>
      </c>
      <c r="G439" s="365">
        <f>F439</f>
        <v>0</v>
      </c>
      <c r="H439" s="183"/>
    </row>
    <row r="440" spans="2:8" ht="17.25" customHeight="1" x14ac:dyDescent="0.25">
      <c r="B440" s="190"/>
      <c r="C440" s="121" t="s">
        <v>202</v>
      </c>
      <c r="D440" s="251">
        <f>SUM(D441:D444)</f>
        <v>4468000000</v>
      </c>
      <c r="E440" s="422">
        <f>SUM(E441:E444)</f>
        <v>4242600000</v>
      </c>
      <c r="F440" s="692">
        <f t="shared" si="18"/>
        <v>94.955237242614146</v>
      </c>
      <c r="G440" s="331">
        <f>SUM(G441:G444)/2</f>
        <v>100</v>
      </c>
      <c r="H440" s="183"/>
    </row>
    <row r="441" spans="2:8" ht="28.5" customHeight="1" x14ac:dyDescent="0.25">
      <c r="B441" s="190"/>
      <c r="C441" s="118" t="s">
        <v>1580</v>
      </c>
      <c r="D441" s="252">
        <v>30000000</v>
      </c>
      <c r="E441" s="296">
        <v>30000000</v>
      </c>
      <c r="F441" s="693">
        <f t="shared" si="18"/>
        <v>100</v>
      </c>
      <c r="G441" s="365">
        <f>F441</f>
        <v>100</v>
      </c>
      <c r="H441" s="183"/>
    </row>
    <row r="442" spans="2:8" ht="17.25" customHeight="1" x14ac:dyDescent="0.25">
      <c r="B442" s="190"/>
      <c r="C442" s="118" t="s">
        <v>1581</v>
      </c>
      <c r="D442" s="252">
        <v>4278000000</v>
      </c>
      <c r="E442" s="296">
        <v>4212600000</v>
      </c>
      <c r="F442" s="693">
        <f t="shared" si="18"/>
        <v>98.471248246844326</v>
      </c>
      <c r="G442" s="365">
        <v>100</v>
      </c>
      <c r="H442" s="183"/>
    </row>
    <row r="443" spans="2:8" ht="17.25" customHeight="1" x14ac:dyDescent="0.25">
      <c r="B443" s="190"/>
      <c r="C443" s="118" t="s">
        <v>1582</v>
      </c>
      <c r="D443" s="252">
        <v>30000000</v>
      </c>
      <c r="E443" s="296">
        <v>0</v>
      </c>
      <c r="F443" s="693">
        <f t="shared" si="18"/>
        <v>0</v>
      </c>
      <c r="G443" s="365">
        <f>F443</f>
        <v>0</v>
      </c>
      <c r="H443" s="183"/>
    </row>
    <row r="444" spans="2:8" ht="17.25" customHeight="1" x14ac:dyDescent="0.25">
      <c r="B444" s="190"/>
      <c r="C444" s="118" t="s">
        <v>1583</v>
      </c>
      <c r="D444" s="252">
        <v>130000000</v>
      </c>
      <c r="E444" s="296">
        <v>0</v>
      </c>
      <c r="F444" s="693">
        <f t="shared" si="18"/>
        <v>0</v>
      </c>
      <c r="G444" s="365">
        <f>F444</f>
        <v>0</v>
      </c>
      <c r="H444" s="183"/>
    </row>
    <row r="445" spans="2:8" ht="17.25" customHeight="1" x14ac:dyDescent="0.25">
      <c r="B445" s="179"/>
      <c r="C445" s="183"/>
      <c r="D445" s="181"/>
      <c r="E445" s="181"/>
      <c r="F445" s="53"/>
      <c r="G445" s="117"/>
      <c r="H445" s="183"/>
    </row>
    <row r="446" spans="2:8" s="154" customFormat="1" ht="17.25" customHeight="1" x14ac:dyDescent="0.25">
      <c r="B446" s="191" t="s">
        <v>1673</v>
      </c>
      <c r="C446" s="255" t="s">
        <v>4006</v>
      </c>
      <c r="D446" s="168">
        <f>D447+D479</f>
        <v>17333962950</v>
      </c>
      <c r="E446" s="168">
        <f>E447+E479</f>
        <v>17283136950</v>
      </c>
      <c r="F446" s="186">
        <f>+E446/D446*100</f>
        <v>99.706783727722225</v>
      </c>
      <c r="G446" s="114">
        <f>(G447+G479)/2</f>
        <v>99.653681082931485</v>
      </c>
      <c r="H446" s="188"/>
    </row>
    <row r="447" spans="2:8" ht="17.25" customHeight="1" x14ac:dyDescent="0.25">
      <c r="B447" s="190"/>
      <c r="C447" s="217" t="s">
        <v>150</v>
      </c>
      <c r="D447" s="168">
        <f>+D448+D450+D454+D458+D460+D462+D466+D469+D471+D474+D476</f>
        <v>16000000950</v>
      </c>
      <c r="E447" s="113">
        <f>E448+E450+E454+E458+E460+E462+E466+E469+E471+E474+E476</f>
        <v>15949866950</v>
      </c>
      <c r="F447" s="694">
        <f t="shared" ref="F447:F477" si="22">E447/D447*100</f>
        <v>99.686662518604408</v>
      </c>
      <c r="G447" s="114">
        <f>(G448+G450+G458+G460+G462+G466+G469+G471+G474+G476)/10</f>
        <v>99.359237706545528</v>
      </c>
      <c r="H447" s="183"/>
    </row>
    <row r="448" spans="2:8" ht="17.25" customHeight="1" x14ac:dyDescent="0.25">
      <c r="B448" s="190"/>
      <c r="C448" s="121" t="s">
        <v>156</v>
      </c>
      <c r="D448" s="120">
        <f>D449</f>
        <v>955720000</v>
      </c>
      <c r="E448" s="113">
        <f>E449</f>
        <v>911020000</v>
      </c>
      <c r="F448" s="695">
        <f t="shared" si="22"/>
        <v>95.322897919892853</v>
      </c>
      <c r="G448" s="114">
        <f t="shared" ref="G448:G481" si="23">+F448</f>
        <v>95.322897919892853</v>
      </c>
      <c r="H448" s="183"/>
    </row>
    <row r="449" spans="2:8" ht="28.5" customHeight="1" x14ac:dyDescent="0.25">
      <c r="B449" s="190"/>
      <c r="C449" s="111" t="s">
        <v>1717</v>
      </c>
      <c r="D449" s="107">
        <v>955720000</v>
      </c>
      <c r="E449" s="253">
        <v>911020000</v>
      </c>
      <c r="F449" s="696">
        <f t="shared" si="22"/>
        <v>95.322897919892853</v>
      </c>
      <c r="G449" s="117">
        <f t="shared" si="23"/>
        <v>95.322897919892853</v>
      </c>
      <c r="H449" s="183"/>
    </row>
    <row r="450" spans="2:8" ht="17.25" customHeight="1" x14ac:dyDescent="0.25">
      <c r="B450" s="190"/>
      <c r="C450" s="121" t="s">
        <v>166</v>
      </c>
      <c r="D450" s="120">
        <f>D451+D452+D453</f>
        <v>5399141000</v>
      </c>
      <c r="E450" s="113">
        <f>E451+E452+E453</f>
        <v>5399141000</v>
      </c>
      <c r="F450" s="694">
        <f t="shared" si="22"/>
        <v>100</v>
      </c>
      <c r="G450" s="114">
        <f t="shared" si="23"/>
        <v>100</v>
      </c>
      <c r="H450" s="183"/>
    </row>
    <row r="451" spans="2:8" ht="17.25" customHeight="1" x14ac:dyDescent="0.25">
      <c r="B451" s="190"/>
      <c r="C451" s="111" t="s">
        <v>1718</v>
      </c>
      <c r="D451" s="107">
        <v>99141000</v>
      </c>
      <c r="E451" s="108">
        <v>99141000</v>
      </c>
      <c r="F451" s="696">
        <f t="shared" si="22"/>
        <v>100</v>
      </c>
      <c r="G451" s="117">
        <f t="shared" si="23"/>
        <v>100</v>
      </c>
      <c r="H451" s="183"/>
    </row>
    <row r="452" spans="2:8" ht="17.25" customHeight="1" x14ac:dyDescent="0.25">
      <c r="B452" s="190"/>
      <c r="C452" s="111" t="s">
        <v>1719</v>
      </c>
      <c r="D452" s="107">
        <v>2700000000</v>
      </c>
      <c r="E452" s="108">
        <v>2700000000</v>
      </c>
      <c r="F452" s="697">
        <f t="shared" si="22"/>
        <v>100</v>
      </c>
      <c r="G452" s="117">
        <f t="shared" si="23"/>
        <v>100</v>
      </c>
      <c r="H452" s="183"/>
    </row>
    <row r="453" spans="2:8" ht="25.5" customHeight="1" x14ac:dyDescent="0.25">
      <c r="B453" s="190"/>
      <c r="C453" s="111" t="s">
        <v>1720</v>
      </c>
      <c r="D453" s="107">
        <v>2600000000</v>
      </c>
      <c r="E453" s="108">
        <v>2600000000</v>
      </c>
      <c r="F453" s="696">
        <f t="shared" si="22"/>
        <v>100</v>
      </c>
      <c r="G453" s="117">
        <f t="shared" si="23"/>
        <v>100</v>
      </c>
      <c r="H453" s="183"/>
    </row>
    <row r="454" spans="2:8" ht="17.25" customHeight="1" x14ac:dyDescent="0.25">
      <c r="B454" s="190"/>
      <c r="C454" s="121" t="s">
        <v>705</v>
      </c>
      <c r="D454" s="120">
        <f>D455+D456+D457</f>
        <v>560811000</v>
      </c>
      <c r="E454" s="108">
        <f>E455+E456+E457</f>
        <v>560811000</v>
      </c>
      <c r="F454" s="696">
        <f t="shared" si="22"/>
        <v>100</v>
      </c>
      <c r="G454" s="117">
        <f t="shared" si="23"/>
        <v>100</v>
      </c>
      <c r="H454" s="183"/>
    </row>
    <row r="455" spans="2:8" ht="17.25" customHeight="1" x14ac:dyDescent="0.25">
      <c r="B455" s="190"/>
      <c r="C455" s="111" t="s">
        <v>1721</v>
      </c>
      <c r="D455" s="107">
        <v>156841000</v>
      </c>
      <c r="E455" s="108">
        <v>156841000</v>
      </c>
      <c r="F455" s="697">
        <f t="shared" si="22"/>
        <v>100</v>
      </c>
      <c r="G455" s="117">
        <f t="shared" si="23"/>
        <v>100</v>
      </c>
      <c r="H455" s="183"/>
    </row>
    <row r="456" spans="2:8" ht="17.25" customHeight="1" x14ac:dyDescent="0.25">
      <c r="B456" s="190"/>
      <c r="C456" s="111" t="s">
        <v>1722</v>
      </c>
      <c r="D456" s="107">
        <v>95774000</v>
      </c>
      <c r="E456" s="108">
        <v>95774000</v>
      </c>
      <c r="F456" s="696">
        <f t="shared" si="22"/>
        <v>100</v>
      </c>
      <c r="G456" s="117">
        <f t="shared" si="23"/>
        <v>100</v>
      </c>
      <c r="H456" s="183"/>
    </row>
    <row r="457" spans="2:8" ht="17.25" customHeight="1" x14ac:dyDescent="0.25">
      <c r="B457" s="190"/>
      <c r="C457" s="111" t="s">
        <v>1723</v>
      </c>
      <c r="D457" s="107">
        <v>308196000</v>
      </c>
      <c r="E457" s="108">
        <v>308196000</v>
      </c>
      <c r="F457" s="697">
        <f t="shared" si="22"/>
        <v>100</v>
      </c>
      <c r="G457" s="117">
        <f t="shared" si="23"/>
        <v>100</v>
      </c>
      <c r="H457" s="183"/>
    </row>
    <row r="458" spans="2:8" ht="17.25" customHeight="1" x14ac:dyDescent="0.25">
      <c r="B458" s="190"/>
      <c r="C458" s="111" t="s">
        <v>177</v>
      </c>
      <c r="D458" s="107">
        <f>D459</f>
        <v>250000000</v>
      </c>
      <c r="E458" s="113">
        <f>E459</f>
        <v>245778000</v>
      </c>
      <c r="F458" s="695">
        <f t="shared" si="22"/>
        <v>98.311199999999999</v>
      </c>
      <c r="G458" s="114">
        <f t="shared" si="23"/>
        <v>98.311199999999999</v>
      </c>
      <c r="H458" s="183"/>
    </row>
    <row r="459" spans="2:8" ht="17.25" customHeight="1" x14ac:dyDescent="0.25">
      <c r="B459" s="190"/>
      <c r="C459" s="111" t="s">
        <v>1724</v>
      </c>
      <c r="D459" s="107">
        <v>250000000</v>
      </c>
      <c r="E459" s="253">
        <v>245778000</v>
      </c>
      <c r="F459" s="696">
        <f t="shared" si="22"/>
        <v>98.311199999999999</v>
      </c>
      <c r="G459" s="117">
        <f t="shared" si="23"/>
        <v>98.311199999999999</v>
      </c>
      <c r="H459" s="183"/>
    </row>
    <row r="460" spans="2:8" ht="17.25" customHeight="1" x14ac:dyDescent="0.25">
      <c r="B460" s="190"/>
      <c r="C460" s="121" t="s">
        <v>179</v>
      </c>
      <c r="D460" s="120">
        <f>D461</f>
        <v>101141000</v>
      </c>
      <c r="E460" s="113">
        <f>E461</f>
        <v>101141000</v>
      </c>
      <c r="F460" s="694">
        <f t="shared" si="22"/>
        <v>100</v>
      </c>
      <c r="G460" s="114">
        <f t="shared" si="23"/>
        <v>100</v>
      </c>
      <c r="H460" s="183"/>
    </row>
    <row r="461" spans="2:8" ht="17.25" customHeight="1" x14ac:dyDescent="0.25">
      <c r="B461" s="190"/>
      <c r="C461" s="111" t="s">
        <v>1725</v>
      </c>
      <c r="D461" s="107">
        <v>101141000</v>
      </c>
      <c r="E461" s="108">
        <v>101141000</v>
      </c>
      <c r="F461" s="697">
        <f t="shared" si="22"/>
        <v>100</v>
      </c>
      <c r="G461" s="117">
        <f t="shared" si="23"/>
        <v>100</v>
      </c>
      <c r="H461" s="183"/>
    </row>
    <row r="462" spans="2:8" ht="17.25" customHeight="1" x14ac:dyDescent="0.25">
      <c r="B462" s="190"/>
      <c r="C462" s="121" t="s">
        <v>182</v>
      </c>
      <c r="D462" s="120">
        <f>D463+D464+D465</f>
        <v>4360041000</v>
      </c>
      <c r="E462" s="113">
        <f>E463+E464+E465</f>
        <v>4360041000</v>
      </c>
      <c r="F462" s="695">
        <f t="shared" si="22"/>
        <v>100</v>
      </c>
      <c r="G462" s="114">
        <f t="shared" si="23"/>
        <v>100</v>
      </c>
      <c r="H462" s="183"/>
    </row>
    <row r="463" spans="2:8" ht="17.25" customHeight="1" x14ac:dyDescent="0.25">
      <c r="B463" s="190"/>
      <c r="C463" s="111" t="s">
        <v>1726</v>
      </c>
      <c r="D463" s="107">
        <v>200000000</v>
      </c>
      <c r="E463" s="108">
        <v>200000000</v>
      </c>
      <c r="F463" s="697">
        <f t="shared" si="22"/>
        <v>100</v>
      </c>
      <c r="G463" s="117">
        <f t="shared" si="23"/>
        <v>100</v>
      </c>
      <c r="H463" s="183"/>
    </row>
    <row r="464" spans="2:8" ht="27" customHeight="1" x14ac:dyDescent="0.25">
      <c r="B464" s="190"/>
      <c r="C464" s="111" t="s">
        <v>1727</v>
      </c>
      <c r="D464" s="107">
        <v>940000000</v>
      </c>
      <c r="E464" s="108">
        <v>940000000</v>
      </c>
      <c r="F464" s="697">
        <f t="shared" si="22"/>
        <v>100</v>
      </c>
      <c r="G464" s="117">
        <f t="shared" si="23"/>
        <v>100</v>
      </c>
      <c r="H464" s="183"/>
    </row>
    <row r="465" spans="2:8" ht="17.25" customHeight="1" x14ac:dyDescent="0.25">
      <c r="B465" s="190"/>
      <c r="C465" s="111" t="s">
        <v>1728</v>
      </c>
      <c r="D465" s="107">
        <v>3220041000</v>
      </c>
      <c r="E465" s="108">
        <v>3220041000</v>
      </c>
      <c r="F465" s="697">
        <f t="shared" si="22"/>
        <v>100</v>
      </c>
      <c r="G465" s="117">
        <f t="shared" si="23"/>
        <v>100</v>
      </c>
      <c r="H465" s="183"/>
    </row>
    <row r="466" spans="2:8" ht="17.25" customHeight="1" x14ac:dyDescent="0.25">
      <c r="B466" s="190"/>
      <c r="C466" s="121" t="s">
        <v>196</v>
      </c>
      <c r="D466" s="120">
        <f>D467+D468</f>
        <v>345391000</v>
      </c>
      <c r="E466" s="113">
        <f>E467+E468</f>
        <v>345391000</v>
      </c>
      <c r="F466" s="695">
        <f t="shared" si="22"/>
        <v>100</v>
      </c>
      <c r="G466" s="114">
        <f t="shared" si="23"/>
        <v>100</v>
      </c>
      <c r="H466" s="183"/>
    </row>
    <row r="467" spans="2:8" ht="17.25" customHeight="1" x14ac:dyDescent="0.25">
      <c r="B467" s="190"/>
      <c r="C467" s="111" t="s">
        <v>1729</v>
      </c>
      <c r="D467" s="107">
        <v>241200000</v>
      </c>
      <c r="E467" s="108">
        <v>241200000</v>
      </c>
      <c r="F467" s="697">
        <f t="shared" si="22"/>
        <v>100</v>
      </c>
      <c r="G467" s="117">
        <f t="shared" si="23"/>
        <v>100</v>
      </c>
      <c r="H467" s="183"/>
    </row>
    <row r="468" spans="2:8" ht="17.25" customHeight="1" x14ac:dyDescent="0.25">
      <c r="B468" s="190"/>
      <c r="C468" s="111" t="s">
        <v>1730</v>
      </c>
      <c r="D468" s="107">
        <v>104191000</v>
      </c>
      <c r="E468" s="108">
        <v>104191000</v>
      </c>
      <c r="F468" s="697">
        <f t="shared" si="22"/>
        <v>100</v>
      </c>
      <c r="G468" s="117">
        <f t="shared" si="23"/>
        <v>100</v>
      </c>
      <c r="H468" s="183"/>
    </row>
    <row r="469" spans="2:8" ht="17.25" customHeight="1" x14ac:dyDescent="0.25">
      <c r="B469" s="190"/>
      <c r="C469" s="121" t="s">
        <v>1570</v>
      </c>
      <c r="D469" s="120">
        <f>D470</f>
        <v>100841000</v>
      </c>
      <c r="E469" s="113">
        <f>E470</f>
        <v>100841000</v>
      </c>
      <c r="F469" s="695">
        <f t="shared" si="22"/>
        <v>100</v>
      </c>
      <c r="G469" s="114">
        <f t="shared" si="23"/>
        <v>100</v>
      </c>
      <c r="H469" s="183"/>
    </row>
    <row r="470" spans="2:8" ht="17.25" customHeight="1" x14ac:dyDescent="0.25">
      <c r="B470" s="190"/>
      <c r="C470" s="111" t="s">
        <v>1731</v>
      </c>
      <c r="D470" s="107">
        <v>100841000</v>
      </c>
      <c r="E470" s="108">
        <v>100841000</v>
      </c>
      <c r="F470" s="697">
        <f t="shared" si="22"/>
        <v>100</v>
      </c>
      <c r="G470" s="117">
        <f t="shared" si="23"/>
        <v>100</v>
      </c>
      <c r="H470" s="183"/>
    </row>
    <row r="471" spans="2:8" ht="17.25" customHeight="1" x14ac:dyDescent="0.25">
      <c r="B471" s="190"/>
      <c r="C471" s="121" t="s">
        <v>720</v>
      </c>
      <c r="D471" s="120">
        <f>D472+D473</f>
        <v>349841000</v>
      </c>
      <c r="E471" s="113">
        <f>E472+E473</f>
        <v>349841000</v>
      </c>
      <c r="F471" s="695">
        <f t="shared" si="22"/>
        <v>100</v>
      </c>
      <c r="G471" s="114">
        <f t="shared" si="23"/>
        <v>100</v>
      </c>
      <c r="H471" s="183"/>
    </row>
    <row r="472" spans="2:8" ht="17.25" customHeight="1" x14ac:dyDescent="0.25">
      <c r="B472" s="190"/>
      <c r="C472" s="111" t="s">
        <v>1732</v>
      </c>
      <c r="D472" s="107">
        <v>149841000</v>
      </c>
      <c r="E472" s="108">
        <v>149841000</v>
      </c>
      <c r="F472" s="697">
        <f t="shared" si="22"/>
        <v>100</v>
      </c>
      <c r="G472" s="117">
        <f t="shared" si="23"/>
        <v>100</v>
      </c>
      <c r="H472" s="183"/>
    </row>
    <row r="473" spans="2:8" ht="17.25" customHeight="1" x14ac:dyDescent="0.25">
      <c r="B473" s="190"/>
      <c r="C473" s="111" t="s">
        <v>1733</v>
      </c>
      <c r="D473" s="107">
        <v>200000000</v>
      </c>
      <c r="E473" s="108">
        <v>200000000</v>
      </c>
      <c r="F473" s="697">
        <f t="shared" si="22"/>
        <v>100</v>
      </c>
      <c r="G473" s="117">
        <f t="shared" si="23"/>
        <v>100</v>
      </c>
      <c r="H473" s="183"/>
    </row>
    <row r="474" spans="2:8" ht="17.25" customHeight="1" x14ac:dyDescent="0.25">
      <c r="B474" s="190"/>
      <c r="C474" s="121" t="s">
        <v>1578</v>
      </c>
      <c r="D474" s="120">
        <f>D475</f>
        <v>672051950</v>
      </c>
      <c r="E474" s="113">
        <f>E475</f>
        <v>672051950</v>
      </c>
      <c r="F474" s="695">
        <f t="shared" si="22"/>
        <v>100</v>
      </c>
      <c r="G474" s="114">
        <f t="shared" si="23"/>
        <v>100</v>
      </c>
      <c r="H474" s="183"/>
    </row>
    <row r="475" spans="2:8" ht="17.25" customHeight="1" x14ac:dyDescent="0.25">
      <c r="B475" s="190"/>
      <c r="C475" s="111" t="s">
        <v>1734</v>
      </c>
      <c r="D475" s="107">
        <v>672051950</v>
      </c>
      <c r="E475" s="108">
        <v>672051950</v>
      </c>
      <c r="F475" s="697">
        <f t="shared" si="22"/>
        <v>100</v>
      </c>
      <c r="G475" s="117">
        <f t="shared" si="23"/>
        <v>100</v>
      </c>
      <c r="H475" s="183"/>
    </row>
    <row r="476" spans="2:8" ht="17.25" customHeight="1" x14ac:dyDescent="0.25">
      <c r="B476" s="190"/>
      <c r="C476" s="121" t="s">
        <v>202</v>
      </c>
      <c r="D476" s="120">
        <f>D477</f>
        <v>2905022000</v>
      </c>
      <c r="E476" s="113">
        <f>E477</f>
        <v>2903810000</v>
      </c>
      <c r="F476" s="695">
        <f t="shared" si="22"/>
        <v>99.958279145562415</v>
      </c>
      <c r="G476" s="114">
        <f t="shared" si="23"/>
        <v>99.958279145562415</v>
      </c>
      <c r="H476" s="183"/>
    </row>
    <row r="477" spans="2:8" ht="28.5" customHeight="1" x14ac:dyDescent="0.25">
      <c r="B477" s="190"/>
      <c r="C477" s="119" t="s">
        <v>1735</v>
      </c>
      <c r="D477" s="107">
        <v>2905022000</v>
      </c>
      <c r="E477" s="108">
        <v>2903810000</v>
      </c>
      <c r="F477" s="697">
        <f t="shared" si="22"/>
        <v>99.958279145562415</v>
      </c>
      <c r="G477" s="117">
        <f t="shared" si="23"/>
        <v>99.958279145562415</v>
      </c>
      <c r="H477" s="183"/>
    </row>
    <row r="478" spans="2:8" ht="17.25" customHeight="1" x14ac:dyDescent="0.25">
      <c r="B478" s="190"/>
      <c r="C478" s="111"/>
      <c r="D478" s="169"/>
      <c r="E478" s="113"/>
      <c r="F478" s="694"/>
      <c r="G478" s="117">
        <f t="shared" si="23"/>
        <v>0</v>
      </c>
      <c r="H478" s="183"/>
    </row>
    <row r="479" spans="2:8" ht="17.25" customHeight="1" x14ac:dyDescent="0.25">
      <c r="B479" s="191"/>
      <c r="C479" s="121" t="s">
        <v>1736</v>
      </c>
      <c r="D479" s="168">
        <f>+D480</f>
        <v>1333962000</v>
      </c>
      <c r="E479" s="113">
        <f>E480</f>
        <v>1333270000</v>
      </c>
      <c r="F479" s="694">
        <f>E479/D479*100</f>
        <v>99.948124459317427</v>
      </c>
      <c r="G479" s="114">
        <f t="shared" si="23"/>
        <v>99.948124459317427</v>
      </c>
      <c r="H479" s="183"/>
    </row>
    <row r="480" spans="2:8" ht="17.25" customHeight="1" x14ac:dyDescent="0.25">
      <c r="B480" s="190"/>
      <c r="C480" s="121" t="s">
        <v>1737</v>
      </c>
      <c r="D480" s="120">
        <f>D481</f>
        <v>1333962000</v>
      </c>
      <c r="E480" s="113">
        <f>E481</f>
        <v>1333270000</v>
      </c>
      <c r="F480" s="695">
        <f>E480/D480*100</f>
        <v>99.948124459317427</v>
      </c>
      <c r="G480" s="114">
        <f t="shared" si="23"/>
        <v>99.948124459317427</v>
      </c>
      <c r="H480" s="183"/>
    </row>
    <row r="481" spans="2:8" ht="17.25" customHeight="1" x14ac:dyDescent="0.25">
      <c r="B481" s="190"/>
      <c r="C481" s="111" t="s">
        <v>1738</v>
      </c>
      <c r="D481" s="107">
        <v>1333962000</v>
      </c>
      <c r="E481" s="108">
        <v>1333270000</v>
      </c>
      <c r="F481" s="697">
        <f>E481/D481*100</f>
        <v>99.948124459317427</v>
      </c>
      <c r="G481" s="117">
        <f t="shared" si="23"/>
        <v>99.948124459317427</v>
      </c>
      <c r="H481" s="183"/>
    </row>
    <row r="482" spans="2:8" ht="17.25" customHeight="1" x14ac:dyDescent="0.25">
      <c r="B482" s="179"/>
      <c r="C482" s="183"/>
      <c r="D482" s="169"/>
      <c r="E482" s="192"/>
      <c r="F482" s="193"/>
      <c r="G482" s="117"/>
      <c r="H482" s="183"/>
    </row>
    <row r="483" spans="2:8" s="154" customFormat="1" ht="17.25" customHeight="1" x14ac:dyDescent="0.25">
      <c r="B483" s="191" t="s">
        <v>1859</v>
      </c>
      <c r="C483" s="698" t="s">
        <v>1860</v>
      </c>
      <c r="D483" s="185">
        <f>+D484+D513</f>
        <v>21879684330</v>
      </c>
      <c r="E483" s="185">
        <f>+E484+E513</f>
        <v>21424145294</v>
      </c>
      <c r="F483" s="186">
        <f>+E483/D483*100</f>
        <v>97.917981680497121</v>
      </c>
      <c r="G483" s="114">
        <f>(G484+G513)/2</f>
        <v>99.478797257500588</v>
      </c>
      <c r="H483" s="188"/>
    </row>
    <row r="484" spans="2:8" s="154" customFormat="1" ht="17.25" customHeight="1" x14ac:dyDescent="0.25">
      <c r="B484" s="191"/>
      <c r="C484" s="249" t="s">
        <v>1020</v>
      </c>
      <c r="D484" s="120">
        <f>D485+D490+D499+D502+D506</f>
        <v>19568584950</v>
      </c>
      <c r="E484" s="242">
        <f>E485+E490+E499+E502+E506</f>
        <v>19114550139</v>
      </c>
      <c r="F484" s="699">
        <f t="shared" ref="F484:F511" si="24">+E484/D484*100</f>
        <v>97.679776988677972</v>
      </c>
      <c r="G484" s="114">
        <f>(G485+G490+G499+G502+G506)/5</f>
        <v>98.957594515001162</v>
      </c>
      <c r="H484" s="188"/>
    </row>
    <row r="485" spans="2:8" s="154" customFormat="1" ht="17.25" customHeight="1" x14ac:dyDescent="0.25">
      <c r="B485" s="191"/>
      <c r="C485" s="261" t="s">
        <v>1899</v>
      </c>
      <c r="D485" s="262">
        <f>D486+D487+D488+D489</f>
        <v>9053917921</v>
      </c>
      <c r="E485" s="242">
        <f>SUM(E486:E489)</f>
        <v>8602173110</v>
      </c>
      <c r="F485" s="699">
        <f t="shared" si="24"/>
        <v>95.010504679391829</v>
      </c>
      <c r="G485" s="114">
        <f t="shared" ref="G485:G511" si="25">+F485</f>
        <v>95.010504679391829</v>
      </c>
      <c r="H485" s="188"/>
    </row>
    <row r="486" spans="2:8" ht="17.25" customHeight="1" x14ac:dyDescent="0.25">
      <c r="B486" s="190"/>
      <c r="C486" s="263" t="s">
        <v>1900</v>
      </c>
      <c r="D486" s="264">
        <v>1082981217</v>
      </c>
      <c r="E486" s="243">
        <v>1073013000</v>
      </c>
      <c r="F486" s="687">
        <f t="shared" si="24"/>
        <v>99.079557720528783</v>
      </c>
      <c r="G486" s="117">
        <f t="shared" si="25"/>
        <v>99.079557720528783</v>
      </c>
      <c r="H486" s="183"/>
    </row>
    <row r="487" spans="2:8" ht="17.25" customHeight="1" x14ac:dyDescent="0.25">
      <c r="B487" s="190"/>
      <c r="C487" s="263" t="s">
        <v>1901</v>
      </c>
      <c r="D487" s="264">
        <v>6743176704</v>
      </c>
      <c r="E487" s="243">
        <v>6301500110</v>
      </c>
      <c r="F487" s="687">
        <f t="shared" si="24"/>
        <v>93.450021949773301</v>
      </c>
      <c r="G487" s="117">
        <f t="shared" si="25"/>
        <v>93.450021949773301</v>
      </c>
      <c r="H487" s="183"/>
    </row>
    <row r="488" spans="2:8" ht="17.25" customHeight="1" x14ac:dyDescent="0.25">
      <c r="B488" s="190"/>
      <c r="C488" s="263" t="s">
        <v>1902</v>
      </c>
      <c r="D488" s="264">
        <v>759760000</v>
      </c>
      <c r="E488" s="243">
        <v>759760000</v>
      </c>
      <c r="F488" s="687">
        <f t="shared" si="24"/>
        <v>100</v>
      </c>
      <c r="G488" s="117">
        <f t="shared" si="25"/>
        <v>100</v>
      </c>
      <c r="H488" s="183"/>
    </row>
    <row r="489" spans="2:8" ht="17.25" customHeight="1" x14ac:dyDescent="0.25">
      <c r="B489" s="190"/>
      <c r="C489" s="263" t="s">
        <v>1903</v>
      </c>
      <c r="D489" s="264">
        <v>468000000</v>
      </c>
      <c r="E489" s="243">
        <v>467900000</v>
      </c>
      <c r="F489" s="687">
        <f t="shared" si="24"/>
        <v>99.978632478632477</v>
      </c>
      <c r="G489" s="117">
        <f t="shared" si="25"/>
        <v>99.978632478632477</v>
      </c>
      <c r="H489" s="183"/>
    </row>
    <row r="490" spans="2:8" ht="17.25" customHeight="1" x14ac:dyDescent="0.25">
      <c r="B490" s="190"/>
      <c r="C490" s="261" t="s">
        <v>1904</v>
      </c>
      <c r="D490" s="262">
        <f>D491+D492+D493+D494+D495+D496+D497+D498</f>
        <v>4323080789</v>
      </c>
      <c r="E490" s="242">
        <f>SUM(E491:E498)</f>
        <v>4323080789</v>
      </c>
      <c r="F490" s="699">
        <f t="shared" si="24"/>
        <v>100</v>
      </c>
      <c r="G490" s="114">
        <f t="shared" si="25"/>
        <v>100</v>
      </c>
      <c r="H490" s="183"/>
    </row>
    <row r="491" spans="2:8" ht="17.25" customHeight="1" x14ac:dyDescent="0.25">
      <c r="B491" s="190"/>
      <c r="C491" s="263" t="s">
        <v>1905</v>
      </c>
      <c r="D491" s="264">
        <v>48200000</v>
      </c>
      <c r="E491" s="243">
        <v>48200000</v>
      </c>
      <c r="F491" s="687">
        <f t="shared" si="24"/>
        <v>100</v>
      </c>
      <c r="G491" s="117">
        <f t="shared" si="25"/>
        <v>100</v>
      </c>
      <c r="H491" s="183"/>
    </row>
    <row r="492" spans="2:8" ht="27.75" customHeight="1" x14ac:dyDescent="0.25">
      <c r="B492" s="190"/>
      <c r="C492" s="259" t="s">
        <v>1906</v>
      </c>
      <c r="D492" s="264">
        <v>157841560</v>
      </c>
      <c r="E492" s="243">
        <v>157841560</v>
      </c>
      <c r="F492" s="687">
        <f t="shared" si="24"/>
        <v>100</v>
      </c>
      <c r="G492" s="117">
        <f t="shared" si="25"/>
        <v>100</v>
      </c>
      <c r="H492" s="183"/>
    </row>
    <row r="493" spans="2:8" ht="17.25" customHeight="1" x14ac:dyDescent="0.25">
      <c r="B493" s="190"/>
      <c r="C493" s="263" t="s">
        <v>1907</v>
      </c>
      <c r="D493" s="264">
        <v>927683437</v>
      </c>
      <c r="E493" s="243">
        <v>927683437</v>
      </c>
      <c r="F493" s="687">
        <f t="shared" si="24"/>
        <v>100</v>
      </c>
      <c r="G493" s="117">
        <f t="shared" si="25"/>
        <v>100</v>
      </c>
      <c r="H493" s="183"/>
    </row>
    <row r="494" spans="2:8" ht="18.75" customHeight="1" x14ac:dyDescent="0.25">
      <c r="B494" s="190"/>
      <c r="C494" s="263" t="s">
        <v>1908</v>
      </c>
      <c r="D494" s="264">
        <v>886245720</v>
      </c>
      <c r="E494" s="243">
        <v>886245720</v>
      </c>
      <c r="F494" s="687">
        <f t="shared" si="24"/>
        <v>100</v>
      </c>
      <c r="G494" s="117">
        <f t="shared" si="25"/>
        <v>100</v>
      </c>
      <c r="H494" s="183"/>
    </row>
    <row r="495" spans="2:8" ht="17.25" customHeight="1" x14ac:dyDescent="0.25">
      <c r="B495" s="190"/>
      <c r="C495" s="263" t="s">
        <v>1909</v>
      </c>
      <c r="D495" s="264">
        <v>882607600</v>
      </c>
      <c r="E495" s="243">
        <v>882607600</v>
      </c>
      <c r="F495" s="687">
        <f t="shared" si="24"/>
        <v>100</v>
      </c>
      <c r="G495" s="117">
        <f t="shared" si="25"/>
        <v>100</v>
      </c>
      <c r="H495" s="183"/>
    </row>
    <row r="496" spans="2:8" ht="17.25" customHeight="1" x14ac:dyDescent="0.25">
      <c r="B496" s="190"/>
      <c r="C496" s="263" t="s">
        <v>1910</v>
      </c>
      <c r="D496" s="264">
        <v>650000000</v>
      </c>
      <c r="E496" s="243">
        <v>650000000</v>
      </c>
      <c r="F496" s="687">
        <f t="shared" si="24"/>
        <v>100</v>
      </c>
      <c r="G496" s="117">
        <f t="shared" si="25"/>
        <v>100</v>
      </c>
      <c r="H496" s="183"/>
    </row>
    <row r="497" spans="2:8" ht="17.25" customHeight="1" x14ac:dyDescent="0.25">
      <c r="B497" s="190"/>
      <c r="C497" s="263" t="s">
        <v>1911</v>
      </c>
      <c r="D497" s="264">
        <v>599236600</v>
      </c>
      <c r="E497" s="243">
        <v>599236600</v>
      </c>
      <c r="F497" s="687">
        <f t="shared" si="24"/>
        <v>100</v>
      </c>
      <c r="G497" s="117">
        <f t="shared" si="25"/>
        <v>100</v>
      </c>
      <c r="H497" s="183"/>
    </row>
    <row r="498" spans="2:8" ht="17.25" customHeight="1" x14ac:dyDescent="0.25">
      <c r="B498" s="190"/>
      <c r="C498" s="263" t="s">
        <v>1912</v>
      </c>
      <c r="D498" s="264">
        <v>171265872</v>
      </c>
      <c r="E498" s="243">
        <v>171265872</v>
      </c>
      <c r="F498" s="687">
        <f t="shared" si="24"/>
        <v>100</v>
      </c>
      <c r="G498" s="117">
        <f t="shared" si="25"/>
        <v>100</v>
      </c>
      <c r="H498" s="183"/>
    </row>
    <row r="499" spans="2:8" ht="17.25" customHeight="1" x14ac:dyDescent="0.25">
      <c r="B499" s="190"/>
      <c r="C499" s="261" t="s">
        <v>1913</v>
      </c>
      <c r="D499" s="262">
        <f>D500+D501</f>
        <v>1029065000</v>
      </c>
      <c r="E499" s="242">
        <f>SUM(E500:E501)</f>
        <v>1026775000</v>
      </c>
      <c r="F499" s="699">
        <f t="shared" si="24"/>
        <v>99.777467895613981</v>
      </c>
      <c r="G499" s="114">
        <f t="shared" si="25"/>
        <v>99.777467895613981</v>
      </c>
      <c r="H499" s="183"/>
    </row>
    <row r="500" spans="2:8" ht="30.75" customHeight="1" x14ac:dyDescent="0.25">
      <c r="B500" s="190"/>
      <c r="C500" s="259" t="s">
        <v>1914</v>
      </c>
      <c r="D500" s="264">
        <v>365000000</v>
      </c>
      <c r="E500" s="243">
        <v>362710000</v>
      </c>
      <c r="F500" s="687">
        <f t="shared" si="24"/>
        <v>99.37260273972602</v>
      </c>
      <c r="G500" s="117">
        <f t="shared" si="25"/>
        <v>99.37260273972602</v>
      </c>
      <c r="H500" s="183"/>
    </row>
    <row r="501" spans="2:8" ht="17.25" customHeight="1" x14ac:dyDescent="0.25">
      <c r="B501" s="190"/>
      <c r="C501" s="263" t="s">
        <v>1915</v>
      </c>
      <c r="D501" s="264">
        <v>664065000</v>
      </c>
      <c r="E501" s="243">
        <v>664065000</v>
      </c>
      <c r="F501" s="687">
        <f t="shared" si="24"/>
        <v>100</v>
      </c>
      <c r="G501" s="117">
        <f t="shared" si="25"/>
        <v>100</v>
      </c>
      <c r="H501" s="183"/>
    </row>
    <row r="502" spans="2:8" ht="17.25" customHeight="1" x14ac:dyDescent="0.25">
      <c r="B502" s="190"/>
      <c r="C502" s="261" t="s">
        <v>1916</v>
      </c>
      <c r="D502" s="262">
        <f>D503+D504+D505</f>
        <v>3289617800</v>
      </c>
      <c r="E502" s="242">
        <f>SUM(E503:E505)</f>
        <v>3289617800</v>
      </c>
      <c r="F502" s="699">
        <f t="shared" si="24"/>
        <v>100</v>
      </c>
      <c r="G502" s="114">
        <f t="shared" si="25"/>
        <v>100</v>
      </c>
      <c r="H502" s="183"/>
    </row>
    <row r="503" spans="2:8" ht="17.25" customHeight="1" x14ac:dyDescent="0.25">
      <c r="B503" s="190"/>
      <c r="C503" s="263" t="s">
        <v>1917</v>
      </c>
      <c r="D503" s="264">
        <v>899992800</v>
      </c>
      <c r="E503" s="243">
        <v>899992800</v>
      </c>
      <c r="F503" s="687">
        <f t="shared" si="24"/>
        <v>100</v>
      </c>
      <c r="G503" s="117">
        <f t="shared" si="25"/>
        <v>100</v>
      </c>
      <c r="H503" s="183"/>
    </row>
    <row r="504" spans="2:8" ht="17.25" customHeight="1" x14ac:dyDescent="0.25">
      <c r="B504" s="190"/>
      <c r="C504" s="263" t="s">
        <v>1918</v>
      </c>
      <c r="D504" s="264">
        <v>1010160000</v>
      </c>
      <c r="E504" s="243">
        <v>1010160000</v>
      </c>
      <c r="F504" s="687">
        <f t="shared" si="24"/>
        <v>100</v>
      </c>
      <c r="G504" s="117">
        <f t="shared" si="25"/>
        <v>100</v>
      </c>
      <c r="H504" s="183"/>
    </row>
    <row r="505" spans="2:8" ht="29.25" customHeight="1" x14ac:dyDescent="0.25">
      <c r="B505" s="190"/>
      <c r="C505" s="259" t="s">
        <v>1919</v>
      </c>
      <c r="D505" s="264">
        <v>1379465000</v>
      </c>
      <c r="E505" s="243">
        <v>1379465000</v>
      </c>
      <c r="F505" s="687">
        <f t="shared" si="24"/>
        <v>100</v>
      </c>
      <c r="G505" s="117">
        <f t="shared" si="25"/>
        <v>100</v>
      </c>
      <c r="H505" s="183"/>
    </row>
    <row r="506" spans="2:8" ht="17.25" customHeight="1" x14ac:dyDescent="0.25">
      <c r="B506" s="190"/>
      <c r="C506" s="261" t="s">
        <v>1920</v>
      </c>
      <c r="D506" s="262">
        <f>D507+D508+D509+D510+D511</f>
        <v>1872903440</v>
      </c>
      <c r="E506" s="242">
        <f>SUM(E507:E511)</f>
        <v>1872903440</v>
      </c>
      <c r="F506" s="699">
        <f t="shared" si="24"/>
        <v>100</v>
      </c>
      <c r="G506" s="114">
        <f t="shared" si="25"/>
        <v>100</v>
      </c>
      <c r="H506" s="183"/>
    </row>
    <row r="507" spans="2:8" ht="17.25" customHeight="1" x14ac:dyDescent="0.25">
      <c r="B507" s="190"/>
      <c r="C507" s="263" t="s">
        <v>1921</v>
      </c>
      <c r="D507" s="264">
        <v>289823440</v>
      </c>
      <c r="E507" s="243">
        <v>289823440</v>
      </c>
      <c r="F507" s="687">
        <f t="shared" si="24"/>
        <v>100</v>
      </c>
      <c r="G507" s="117">
        <f t="shared" si="25"/>
        <v>100</v>
      </c>
      <c r="H507" s="183"/>
    </row>
    <row r="508" spans="2:8" ht="17.25" customHeight="1" x14ac:dyDescent="0.25">
      <c r="B508" s="190"/>
      <c r="C508" s="263" t="s">
        <v>1922</v>
      </c>
      <c r="D508" s="264">
        <v>78000000</v>
      </c>
      <c r="E508" s="243">
        <v>78000000</v>
      </c>
      <c r="F508" s="687">
        <f t="shared" si="24"/>
        <v>100</v>
      </c>
      <c r="G508" s="117">
        <f t="shared" si="25"/>
        <v>100</v>
      </c>
      <c r="H508" s="183"/>
    </row>
    <row r="509" spans="2:8" ht="17.25" customHeight="1" x14ac:dyDescent="0.25">
      <c r="B509" s="190"/>
      <c r="C509" s="263" t="s">
        <v>1923</v>
      </c>
      <c r="D509" s="264">
        <v>1071540000</v>
      </c>
      <c r="E509" s="243">
        <v>1071540000</v>
      </c>
      <c r="F509" s="687">
        <f t="shared" si="24"/>
        <v>100</v>
      </c>
      <c r="G509" s="117">
        <f t="shared" si="25"/>
        <v>100</v>
      </c>
      <c r="H509" s="183"/>
    </row>
    <row r="510" spans="2:8" ht="17.25" customHeight="1" x14ac:dyDescent="0.25">
      <c r="B510" s="190"/>
      <c r="C510" s="263" t="s">
        <v>1924</v>
      </c>
      <c r="D510" s="264">
        <v>162420000</v>
      </c>
      <c r="E510" s="243">
        <v>162420000</v>
      </c>
      <c r="F510" s="687">
        <f t="shared" si="24"/>
        <v>100</v>
      </c>
      <c r="G510" s="117">
        <f t="shared" si="25"/>
        <v>100</v>
      </c>
      <c r="H510" s="183"/>
    </row>
    <row r="511" spans="2:8" ht="17.25" customHeight="1" x14ac:dyDescent="0.25">
      <c r="B511" s="190"/>
      <c r="C511" s="259" t="s">
        <v>1925</v>
      </c>
      <c r="D511" s="264">
        <v>271120000</v>
      </c>
      <c r="E511" s="243">
        <v>271120000</v>
      </c>
      <c r="F511" s="687">
        <f t="shared" si="24"/>
        <v>100</v>
      </c>
      <c r="G511" s="117">
        <f t="shared" si="25"/>
        <v>100</v>
      </c>
      <c r="H511" s="183"/>
    </row>
    <row r="512" spans="2:8" ht="17.25" customHeight="1" x14ac:dyDescent="0.25">
      <c r="B512" s="179"/>
      <c r="C512" s="183"/>
      <c r="D512" s="181"/>
      <c r="E512" s="319"/>
      <c r="F512" s="700"/>
      <c r="G512" s="117"/>
      <c r="H512" s="183"/>
    </row>
    <row r="513" spans="2:11" ht="17.25" customHeight="1" x14ac:dyDescent="0.25">
      <c r="B513" s="179"/>
      <c r="C513" s="316" t="s">
        <v>1943</v>
      </c>
      <c r="D513" s="574">
        <f>D514+D517+D520+D523</f>
        <v>2311099380</v>
      </c>
      <c r="E513" s="319">
        <v>2309595155</v>
      </c>
      <c r="F513" s="699">
        <f t="shared" ref="F513:F524" si="26">+E513/D513*100</f>
        <v>99.934913010967094</v>
      </c>
      <c r="G513" s="114">
        <v>100</v>
      </c>
      <c r="H513" s="183"/>
    </row>
    <row r="514" spans="2:11" ht="17.25" customHeight="1" x14ac:dyDescent="0.25">
      <c r="B514" s="179"/>
      <c r="C514" s="316" t="s">
        <v>1946</v>
      </c>
      <c r="D514" s="574">
        <f>D515+D516</f>
        <v>761835792</v>
      </c>
      <c r="E514" s="242">
        <f>SUM(E515:E516)</f>
        <v>761835792</v>
      </c>
      <c r="F514" s="699">
        <f t="shared" si="26"/>
        <v>100</v>
      </c>
      <c r="G514" s="114">
        <f t="shared" ref="G514:G524" si="27">+F514</f>
        <v>100</v>
      </c>
      <c r="H514" s="183"/>
    </row>
    <row r="515" spans="2:11" ht="17.25" customHeight="1" x14ac:dyDescent="0.25">
      <c r="B515" s="179"/>
      <c r="C515" s="412" t="s">
        <v>1947</v>
      </c>
      <c r="D515" s="575">
        <v>312519380</v>
      </c>
      <c r="E515" s="243">
        <v>312519380</v>
      </c>
      <c r="F515" s="687">
        <f t="shared" si="26"/>
        <v>100</v>
      </c>
      <c r="G515" s="117">
        <f t="shared" si="27"/>
        <v>100</v>
      </c>
      <c r="H515" s="183"/>
    </row>
    <row r="516" spans="2:11" ht="17.25" customHeight="1" x14ac:dyDescent="0.25">
      <c r="B516" s="179"/>
      <c r="C516" s="310" t="s">
        <v>1948</v>
      </c>
      <c r="D516" s="701">
        <v>449316412</v>
      </c>
      <c r="E516" s="243">
        <v>449316412</v>
      </c>
      <c r="F516" s="687">
        <f t="shared" si="26"/>
        <v>100</v>
      </c>
      <c r="G516" s="117">
        <f t="shared" si="27"/>
        <v>100</v>
      </c>
      <c r="H516" s="183"/>
    </row>
    <row r="517" spans="2:11" ht="16.5" customHeight="1" x14ac:dyDescent="0.25">
      <c r="B517" s="179"/>
      <c r="C517" s="316" t="s">
        <v>1949</v>
      </c>
      <c r="D517" s="574">
        <f>D518+D519</f>
        <v>939278088</v>
      </c>
      <c r="E517" s="242">
        <f>SUM(E518:E519)</f>
        <v>938578738</v>
      </c>
      <c r="F517" s="699">
        <f t="shared" si="26"/>
        <v>99.925543882164959</v>
      </c>
      <c r="G517" s="114">
        <f t="shared" si="27"/>
        <v>99.925543882164959</v>
      </c>
      <c r="H517" s="183"/>
    </row>
    <row r="518" spans="2:11" ht="16.5" customHeight="1" x14ac:dyDescent="0.25">
      <c r="B518" s="179"/>
      <c r="C518" s="412" t="s">
        <v>1950</v>
      </c>
      <c r="D518" s="575">
        <v>436378000</v>
      </c>
      <c r="E518" s="243">
        <v>435678650</v>
      </c>
      <c r="F518" s="687">
        <f t="shared" si="26"/>
        <v>99.839737566971749</v>
      </c>
      <c r="G518" s="117">
        <f t="shared" si="27"/>
        <v>99.839737566971749</v>
      </c>
      <c r="H518" s="183"/>
    </row>
    <row r="519" spans="2:11" ht="30" customHeight="1" x14ac:dyDescent="0.25">
      <c r="B519" s="179"/>
      <c r="C519" s="412" t="s">
        <v>1951</v>
      </c>
      <c r="D519" s="575">
        <v>502900088</v>
      </c>
      <c r="E519" s="243">
        <v>502900088</v>
      </c>
      <c r="F519" s="687">
        <f t="shared" si="26"/>
        <v>100</v>
      </c>
      <c r="G519" s="117">
        <f t="shared" si="27"/>
        <v>100</v>
      </c>
      <c r="H519" s="183"/>
    </row>
    <row r="520" spans="2:11" ht="17.25" customHeight="1" x14ac:dyDescent="0.25">
      <c r="B520" s="179"/>
      <c r="C520" s="311" t="s">
        <v>1952</v>
      </c>
      <c r="D520" s="574">
        <f>D521+D522</f>
        <v>409985500</v>
      </c>
      <c r="E520" s="242">
        <f>SUM(E521:E522)</f>
        <v>409180625</v>
      </c>
      <c r="F520" s="699">
        <f t="shared" si="26"/>
        <v>99.803682081439476</v>
      </c>
      <c r="G520" s="114">
        <f t="shared" si="27"/>
        <v>99.803682081439476</v>
      </c>
      <c r="H520" s="183"/>
    </row>
    <row r="521" spans="2:11" ht="17.25" customHeight="1" x14ac:dyDescent="0.25">
      <c r="B521" s="179"/>
      <c r="C521" s="310" t="s">
        <v>1953</v>
      </c>
      <c r="D521" s="575">
        <v>100000000</v>
      </c>
      <c r="E521" s="243">
        <v>99902000</v>
      </c>
      <c r="F521" s="687">
        <f t="shared" si="26"/>
        <v>99.902000000000001</v>
      </c>
      <c r="G521" s="117">
        <f t="shared" si="27"/>
        <v>99.902000000000001</v>
      </c>
      <c r="H521" s="183"/>
    </row>
    <row r="522" spans="2:11" ht="17.25" customHeight="1" x14ac:dyDescent="0.25">
      <c r="B522" s="179"/>
      <c r="C522" s="310" t="s">
        <v>1954</v>
      </c>
      <c r="D522" s="575">
        <v>309985500</v>
      </c>
      <c r="E522" s="243">
        <v>309278625</v>
      </c>
      <c r="F522" s="687">
        <f t="shared" si="26"/>
        <v>99.771965140304957</v>
      </c>
      <c r="G522" s="117">
        <f t="shared" si="27"/>
        <v>99.771965140304957</v>
      </c>
      <c r="H522" s="183"/>
    </row>
    <row r="523" spans="2:11" ht="30" customHeight="1" x14ac:dyDescent="0.25">
      <c r="B523" s="179"/>
      <c r="C523" s="316" t="s">
        <v>1955</v>
      </c>
      <c r="D523" s="574">
        <f>D524</f>
        <v>200000000</v>
      </c>
      <c r="E523" s="242">
        <f>E524</f>
        <v>200000000</v>
      </c>
      <c r="F523" s="699">
        <f t="shared" si="26"/>
        <v>100</v>
      </c>
      <c r="G523" s="114">
        <f t="shared" si="27"/>
        <v>100</v>
      </c>
      <c r="H523" s="183"/>
    </row>
    <row r="524" spans="2:11" ht="17.25" customHeight="1" x14ac:dyDescent="0.25">
      <c r="B524" s="179"/>
      <c r="C524" s="310" t="s">
        <v>1956</v>
      </c>
      <c r="D524" s="575">
        <v>200000000</v>
      </c>
      <c r="E524" s="243">
        <v>200000000</v>
      </c>
      <c r="F524" s="687">
        <f t="shared" si="26"/>
        <v>100</v>
      </c>
      <c r="G524" s="117">
        <f t="shared" si="27"/>
        <v>100</v>
      </c>
      <c r="H524" s="183"/>
    </row>
    <row r="525" spans="2:11" ht="17.25" customHeight="1" x14ac:dyDescent="0.25">
      <c r="B525" s="179"/>
      <c r="C525" s="183"/>
      <c r="D525" s="181"/>
      <c r="E525" s="181"/>
      <c r="F525" s="53"/>
      <c r="G525" s="117"/>
      <c r="H525" s="183"/>
    </row>
    <row r="526" spans="2:11" s="154" customFormat="1" ht="17.25" customHeight="1" x14ac:dyDescent="0.25">
      <c r="B526" s="191" t="s">
        <v>1998</v>
      </c>
      <c r="C526" s="217" t="s">
        <v>1999</v>
      </c>
      <c r="D526" s="120">
        <f>+D527+D540</f>
        <v>15143429250</v>
      </c>
      <c r="E526" s="185">
        <f>+E527+E540</f>
        <v>8456955330</v>
      </c>
      <c r="F526" s="186">
        <f>+E526/D526*100</f>
        <v>55.845708329241219</v>
      </c>
      <c r="G526" s="114">
        <f>(G527+G540)/2</f>
        <v>67.395833333333343</v>
      </c>
      <c r="H526" s="188"/>
      <c r="I526" s="324" t="s">
        <v>4186</v>
      </c>
    </row>
    <row r="527" spans="2:11" ht="17.25" customHeight="1" x14ac:dyDescent="0.25">
      <c r="B527" s="190"/>
      <c r="C527" s="48" t="s">
        <v>150</v>
      </c>
      <c r="D527" s="106">
        <f>D528+D533+D535+D537</f>
        <v>12605903250</v>
      </c>
      <c r="E527" s="441">
        <v>7747910306</v>
      </c>
      <c r="F527" s="757">
        <f t="shared" ref="F527:F538" si="28">+E527/D527*100</f>
        <v>61.462555695880027</v>
      </c>
      <c r="G527" s="758">
        <f>(G528+G533+G535+G537)/4</f>
        <v>68.125</v>
      </c>
      <c r="H527" s="183"/>
    </row>
    <row r="528" spans="2:11" ht="17.25" customHeight="1" x14ac:dyDescent="0.25">
      <c r="B528" s="190"/>
      <c r="C528" s="48" t="s">
        <v>166</v>
      </c>
      <c r="D528" s="106">
        <f>SUM(D529:D532)</f>
        <v>10566153250</v>
      </c>
      <c r="E528" s="441">
        <v>6679702306</v>
      </c>
      <c r="F528" s="757">
        <f t="shared" si="28"/>
        <v>63.217919974802562</v>
      </c>
      <c r="G528" s="758">
        <f>SUM(G529:G530)/2</f>
        <v>72.5</v>
      </c>
      <c r="H528" s="183"/>
      <c r="I528" s="1344" t="s">
        <v>4187</v>
      </c>
      <c r="J528" s="1345"/>
      <c r="K528" s="1345"/>
    </row>
    <row r="529" spans="2:11" ht="17.25" customHeight="1" x14ac:dyDescent="0.25">
      <c r="B529" s="190"/>
      <c r="C529" s="32" t="s">
        <v>2015</v>
      </c>
      <c r="D529" s="620">
        <v>1800000000</v>
      </c>
      <c r="E529" s="440">
        <v>796425056</v>
      </c>
      <c r="F529" s="759">
        <f t="shared" si="28"/>
        <v>44.245836444444443</v>
      </c>
      <c r="G529" s="760">
        <v>60</v>
      </c>
      <c r="H529" s="183"/>
      <c r="I529" s="1344"/>
      <c r="J529" s="1345"/>
      <c r="K529" s="1345"/>
    </row>
    <row r="530" spans="2:11" ht="17.25" customHeight="1" x14ac:dyDescent="0.25">
      <c r="B530" s="190"/>
      <c r="C530" s="32" t="s">
        <v>2016</v>
      </c>
      <c r="D530" s="620">
        <v>4658076625</v>
      </c>
      <c r="E530" s="440">
        <v>3746547000</v>
      </c>
      <c r="F530" s="759">
        <f t="shared" si="28"/>
        <v>80.431201579901014</v>
      </c>
      <c r="G530" s="760">
        <v>85</v>
      </c>
      <c r="H530" s="183"/>
      <c r="I530" s="1344"/>
      <c r="J530" s="1345"/>
      <c r="K530" s="1345"/>
    </row>
    <row r="531" spans="2:11" ht="27" customHeight="1" x14ac:dyDescent="0.25">
      <c r="B531" s="190"/>
      <c r="C531" s="119" t="s">
        <v>2017</v>
      </c>
      <c r="D531" s="620">
        <v>3758076625</v>
      </c>
      <c r="E531" s="440">
        <v>1797580250</v>
      </c>
      <c r="F531" s="759">
        <f t="shared" si="28"/>
        <v>47.832453389637848</v>
      </c>
      <c r="G531" s="760">
        <v>60</v>
      </c>
      <c r="H531" s="183"/>
      <c r="I531" s="1344"/>
      <c r="J531" s="1345"/>
      <c r="K531" s="1345"/>
    </row>
    <row r="532" spans="2:11" ht="27" customHeight="1" x14ac:dyDescent="0.25">
      <c r="B532" s="190"/>
      <c r="C532" s="32" t="s">
        <v>2018</v>
      </c>
      <c r="D532" s="620">
        <v>350000000</v>
      </c>
      <c r="E532" s="440">
        <v>339150000</v>
      </c>
      <c r="F532" s="759">
        <f t="shared" si="28"/>
        <v>96.899999999999991</v>
      </c>
      <c r="G532" s="291">
        <v>100</v>
      </c>
      <c r="H532" s="183"/>
      <c r="I532" s="1344"/>
      <c r="J532" s="1345"/>
      <c r="K532" s="1345"/>
    </row>
    <row r="533" spans="2:11" ht="17.25" customHeight="1" x14ac:dyDescent="0.25">
      <c r="B533" s="190"/>
      <c r="C533" s="48" t="s">
        <v>166</v>
      </c>
      <c r="D533" s="106">
        <v>906750000</v>
      </c>
      <c r="E533" s="441">
        <v>282358000</v>
      </c>
      <c r="F533" s="757">
        <f t="shared" si="28"/>
        <v>31.139564378274052</v>
      </c>
      <c r="G533" s="702">
        <f>+G534</f>
        <v>50</v>
      </c>
      <c r="H533" s="183"/>
    </row>
    <row r="534" spans="2:11" ht="17.25" customHeight="1" x14ac:dyDescent="0.25">
      <c r="B534" s="190"/>
      <c r="C534" s="32" t="s">
        <v>2019</v>
      </c>
      <c r="D534" s="620">
        <v>906750000</v>
      </c>
      <c r="E534" s="440">
        <v>282358000</v>
      </c>
      <c r="F534" s="759">
        <f t="shared" si="28"/>
        <v>31.139564378274052</v>
      </c>
      <c r="G534" s="291">
        <v>50</v>
      </c>
      <c r="H534" s="183"/>
    </row>
    <row r="535" spans="2:11" ht="17.25" customHeight="1" x14ac:dyDescent="0.25">
      <c r="B535" s="190"/>
      <c r="C535" s="48" t="s">
        <v>2020</v>
      </c>
      <c r="D535" s="106">
        <v>535000000</v>
      </c>
      <c r="E535" s="441">
        <v>198000000</v>
      </c>
      <c r="F535" s="757">
        <f t="shared" si="28"/>
        <v>37.009345794392523</v>
      </c>
      <c r="G535" s="758">
        <f>+G536</f>
        <v>50</v>
      </c>
      <c r="H535" s="183"/>
    </row>
    <row r="536" spans="2:11" ht="27" customHeight="1" x14ac:dyDescent="0.25">
      <c r="B536" s="190"/>
      <c r="C536" s="32" t="s">
        <v>2021</v>
      </c>
      <c r="D536" s="620">
        <v>535000000</v>
      </c>
      <c r="E536" s="440">
        <v>198000000</v>
      </c>
      <c r="F536" s="759">
        <f t="shared" si="28"/>
        <v>37.009345794392523</v>
      </c>
      <c r="G536" s="760">
        <v>50</v>
      </c>
      <c r="H536" s="183"/>
    </row>
    <row r="537" spans="2:11" ht="27" customHeight="1" x14ac:dyDescent="0.25">
      <c r="B537" s="190"/>
      <c r="C537" s="217" t="s">
        <v>2022</v>
      </c>
      <c r="D537" s="106">
        <v>598000000</v>
      </c>
      <c r="E537" s="441">
        <v>587850000</v>
      </c>
      <c r="F537" s="757">
        <f t="shared" si="28"/>
        <v>98.302675585284277</v>
      </c>
      <c r="G537" s="758">
        <f>+G538</f>
        <v>100</v>
      </c>
      <c r="H537" s="183"/>
    </row>
    <row r="538" spans="2:11" ht="27" customHeight="1" x14ac:dyDescent="0.25">
      <c r="B538" s="190"/>
      <c r="C538" s="32" t="s">
        <v>2023</v>
      </c>
      <c r="D538" s="620">
        <v>598000000</v>
      </c>
      <c r="E538" s="440">
        <v>587850000</v>
      </c>
      <c r="F538" s="759">
        <f t="shared" si="28"/>
        <v>98.302675585284277</v>
      </c>
      <c r="G538" s="760">
        <v>100</v>
      </c>
      <c r="H538" s="183"/>
    </row>
    <row r="539" spans="2:11" ht="17.25" customHeight="1" x14ac:dyDescent="0.25">
      <c r="B539" s="190"/>
      <c r="C539" s="674"/>
      <c r="D539" s="169"/>
      <c r="E539" s="116"/>
      <c r="F539" s="116"/>
      <c r="G539" s="117"/>
      <c r="H539" s="183"/>
    </row>
    <row r="540" spans="2:11" ht="17.25" customHeight="1" x14ac:dyDescent="0.25">
      <c r="B540" s="676"/>
      <c r="C540" s="48" t="s">
        <v>1736</v>
      </c>
      <c r="D540" s="106">
        <f>D541+D543+D545</f>
        <v>2537526000</v>
      </c>
      <c r="E540" s="441">
        <v>709045024</v>
      </c>
      <c r="F540" s="757">
        <f t="shared" ref="F540:F546" si="29">+E540/D540*100</f>
        <v>27.94237473822928</v>
      </c>
      <c r="G540" s="758">
        <f>(G541+G543+G545)/3</f>
        <v>66.666666666666671</v>
      </c>
      <c r="H540" s="183"/>
    </row>
    <row r="541" spans="2:11" ht="17.25" customHeight="1" x14ac:dyDescent="0.25">
      <c r="B541" s="190"/>
      <c r="C541" s="48" t="s">
        <v>182</v>
      </c>
      <c r="D541" s="106">
        <v>77984000</v>
      </c>
      <c r="E541" s="441">
        <v>77984000</v>
      </c>
      <c r="F541" s="757">
        <f t="shared" si="29"/>
        <v>100</v>
      </c>
      <c r="G541" s="702">
        <f>+G542</f>
        <v>100</v>
      </c>
      <c r="H541" s="183"/>
    </row>
    <row r="542" spans="2:11" ht="17.25" customHeight="1" x14ac:dyDescent="0.25">
      <c r="B542" s="190"/>
      <c r="C542" s="32" t="s">
        <v>2024</v>
      </c>
      <c r="D542" s="620">
        <f>D541</f>
        <v>77984000</v>
      </c>
      <c r="E542" s="440">
        <v>77984000</v>
      </c>
      <c r="F542" s="759">
        <f t="shared" si="29"/>
        <v>100</v>
      </c>
      <c r="G542" s="291">
        <v>100</v>
      </c>
      <c r="H542" s="183"/>
    </row>
    <row r="543" spans="2:11" ht="27" customHeight="1" x14ac:dyDescent="0.25">
      <c r="B543" s="190"/>
      <c r="C543" s="217" t="s">
        <v>2025</v>
      </c>
      <c r="D543" s="106">
        <v>1952142000</v>
      </c>
      <c r="E543" s="441">
        <v>346477704</v>
      </c>
      <c r="F543" s="757">
        <f t="shared" si="29"/>
        <v>17.748591239776616</v>
      </c>
      <c r="G543" s="702">
        <f>+G544</f>
        <v>40</v>
      </c>
      <c r="H543" s="183"/>
    </row>
    <row r="544" spans="2:11" ht="17.25" customHeight="1" x14ac:dyDescent="0.25">
      <c r="B544" s="190"/>
      <c r="C544" s="32" t="s">
        <v>2026</v>
      </c>
      <c r="D544" s="620">
        <f>D543</f>
        <v>1952142000</v>
      </c>
      <c r="E544" s="440">
        <v>346477704</v>
      </c>
      <c r="F544" s="759">
        <f t="shared" si="29"/>
        <v>17.748591239776616</v>
      </c>
      <c r="G544" s="760">
        <v>40</v>
      </c>
      <c r="H544" s="183"/>
    </row>
    <row r="545" spans="2:8" ht="17.25" customHeight="1" x14ac:dyDescent="0.25">
      <c r="B545" s="190"/>
      <c r="C545" s="48" t="s">
        <v>1578</v>
      </c>
      <c r="D545" s="106">
        <v>507400000</v>
      </c>
      <c r="E545" s="441">
        <v>284583320</v>
      </c>
      <c r="F545" s="757">
        <f t="shared" si="29"/>
        <v>56.086582577847857</v>
      </c>
      <c r="G545" s="758">
        <f>+G546</f>
        <v>60</v>
      </c>
      <c r="H545" s="183"/>
    </row>
    <row r="546" spans="2:8" ht="17.25" customHeight="1" x14ac:dyDescent="0.25">
      <c r="B546" s="190"/>
      <c r="C546" s="32" t="s">
        <v>2027</v>
      </c>
      <c r="D546" s="620">
        <f>D545</f>
        <v>507400000</v>
      </c>
      <c r="E546" s="440">
        <v>284583320</v>
      </c>
      <c r="F546" s="759">
        <f t="shared" si="29"/>
        <v>56.086582577847857</v>
      </c>
      <c r="G546" s="760">
        <v>60</v>
      </c>
      <c r="H546" s="183"/>
    </row>
    <row r="547" spans="2:8" ht="17.25" customHeight="1" x14ac:dyDescent="0.25">
      <c r="B547" s="179"/>
      <c r="C547" s="183"/>
      <c r="D547" s="169"/>
      <c r="E547" s="116">
        <v>0</v>
      </c>
      <c r="F547" s="116"/>
      <c r="G547" s="117"/>
      <c r="H547" s="183"/>
    </row>
    <row r="548" spans="2:8" s="154" customFormat="1" ht="17.25" customHeight="1" x14ac:dyDescent="0.25">
      <c r="B548" s="184">
        <v>10</v>
      </c>
      <c r="C548" s="48" t="s">
        <v>2072</v>
      </c>
      <c r="D548" s="168">
        <f>D549+D566+D572</f>
        <v>15636963250</v>
      </c>
      <c r="E548" s="185">
        <f>E549+E566+E572</f>
        <v>14363811994</v>
      </c>
      <c r="F548" s="186">
        <f>+E548/D548*100</f>
        <v>91.858065817223178</v>
      </c>
      <c r="G548" s="114">
        <f>(G549+G566+G572)/3</f>
        <v>96.414635792153945</v>
      </c>
      <c r="H548" s="188"/>
    </row>
    <row r="549" spans="2:8" ht="17.25" customHeight="1" x14ac:dyDescent="0.25">
      <c r="B549" s="179"/>
      <c r="C549" s="267" t="s">
        <v>1020</v>
      </c>
      <c r="D549" s="120">
        <f>D550+D552+D555+D558+D560+D563</f>
        <v>12068481750</v>
      </c>
      <c r="E549" s="220">
        <f>E550+E552+E555+E558+E560+E563</f>
        <v>10814359484</v>
      </c>
      <c r="F549" s="699">
        <f t="shared" ref="F549:F570" si="30">+E549/D549*100</f>
        <v>89.60828468750843</v>
      </c>
      <c r="G549" s="117">
        <f t="shared" ref="G549:G570" si="31">+F549</f>
        <v>89.60828468750843</v>
      </c>
      <c r="H549" s="183"/>
    </row>
    <row r="550" spans="2:8" ht="17.25" customHeight="1" x14ac:dyDescent="0.25">
      <c r="B550" s="179"/>
      <c r="C550" s="267" t="s">
        <v>156</v>
      </c>
      <c r="D550" s="120">
        <v>1530849300</v>
      </c>
      <c r="E550" s="220">
        <f>E551</f>
        <v>1491677984</v>
      </c>
      <c r="F550" s="699">
        <f t="shared" si="30"/>
        <v>97.441203650810053</v>
      </c>
      <c r="G550" s="117">
        <f t="shared" si="31"/>
        <v>97.441203650810053</v>
      </c>
      <c r="H550" s="183"/>
    </row>
    <row r="551" spans="2:8" ht="27" customHeight="1" x14ac:dyDescent="0.25">
      <c r="B551" s="179"/>
      <c r="C551" s="268" t="s">
        <v>2088</v>
      </c>
      <c r="D551" s="107">
        <v>1530849300</v>
      </c>
      <c r="E551" s="221">
        <v>1491677984</v>
      </c>
      <c r="F551" s="699">
        <f t="shared" si="30"/>
        <v>97.441203650810053</v>
      </c>
      <c r="G551" s="117">
        <f t="shared" si="31"/>
        <v>97.441203650810053</v>
      </c>
      <c r="H551" s="183"/>
    </row>
    <row r="552" spans="2:8" ht="17.25" customHeight="1" x14ac:dyDescent="0.25">
      <c r="B552" s="179"/>
      <c r="C552" s="267" t="s">
        <v>166</v>
      </c>
      <c r="D552" s="120">
        <v>7095319100</v>
      </c>
      <c r="E552" s="220">
        <f>SUM(E553:E554)</f>
        <v>6058687500</v>
      </c>
      <c r="F552" s="699">
        <f t="shared" si="30"/>
        <v>85.389922773170269</v>
      </c>
      <c r="G552" s="117">
        <f t="shared" si="31"/>
        <v>85.389922773170269</v>
      </c>
      <c r="H552" s="183"/>
    </row>
    <row r="553" spans="2:8" ht="27" customHeight="1" x14ac:dyDescent="0.25">
      <c r="B553" s="179"/>
      <c r="C553" s="268" t="s">
        <v>2089</v>
      </c>
      <c r="D553" s="107">
        <v>3459319100</v>
      </c>
      <c r="E553" s="221">
        <v>2900187500</v>
      </c>
      <c r="F553" s="699">
        <f t="shared" si="30"/>
        <v>83.836946409482721</v>
      </c>
      <c r="G553" s="117">
        <f t="shared" si="31"/>
        <v>83.836946409482721</v>
      </c>
      <c r="H553" s="183"/>
    </row>
    <row r="554" spans="2:8" ht="17.25" customHeight="1" x14ac:dyDescent="0.25">
      <c r="B554" s="179"/>
      <c r="C554" s="268" t="s">
        <v>2090</v>
      </c>
      <c r="D554" s="107">
        <v>3636000000</v>
      </c>
      <c r="E554" s="221">
        <v>3158500000</v>
      </c>
      <c r="F554" s="699">
        <f t="shared" si="30"/>
        <v>86.867436743674361</v>
      </c>
      <c r="G554" s="117">
        <f t="shared" si="31"/>
        <v>86.867436743674361</v>
      </c>
      <c r="H554" s="183"/>
    </row>
    <row r="555" spans="2:8" ht="17.25" customHeight="1" x14ac:dyDescent="0.25">
      <c r="B555" s="179"/>
      <c r="C555" s="267" t="s">
        <v>177</v>
      </c>
      <c r="D555" s="120">
        <v>1199061500</v>
      </c>
      <c r="E555" s="220">
        <f>SUM(E556:E557)</f>
        <v>1147315000</v>
      </c>
      <c r="F555" s="699">
        <f t="shared" si="30"/>
        <v>95.684416520753928</v>
      </c>
      <c r="G555" s="117">
        <f t="shared" si="31"/>
        <v>95.684416520753928</v>
      </c>
      <c r="H555" s="183"/>
    </row>
    <row r="556" spans="2:8" ht="17.25" customHeight="1" x14ac:dyDescent="0.25">
      <c r="B556" s="179"/>
      <c r="C556" s="268" t="s">
        <v>2091</v>
      </c>
      <c r="D556" s="107">
        <v>1069061500</v>
      </c>
      <c r="E556" s="221">
        <v>1041215000</v>
      </c>
      <c r="F556" s="699">
        <f t="shared" si="30"/>
        <v>97.395238721065155</v>
      </c>
      <c r="G556" s="117">
        <f t="shared" si="31"/>
        <v>97.395238721065155</v>
      </c>
      <c r="H556" s="183"/>
    </row>
    <row r="557" spans="2:8" ht="17.25" customHeight="1" x14ac:dyDescent="0.25">
      <c r="B557" s="179"/>
      <c r="C557" s="268" t="s">
        <v>2092</v>
      </c>
      <c r="D557" s="107">
        <v>130000000</v>
      </c>
      <c r="E557" s="221">
        <v>106100000</v>
      </c>
      <c r="F557" s="699">
        <f t="shared" si="30"/>
        <v>81.615384615384613</v>
      </c>
      <c r="G557" s="117">
        <f t="shared" si="31"/>
        <v>81.615384615384613</v>
      </c>
      <c r="H557" s="183"/>
    </row>
    <row r="558" spans="2:8" ht="17.25" customHeight="1" x14ac:dyDescent="0.25">
      <c r="B558" s="179"/>
      <c r="C558" s="267" t="s">
        <v>179</v>
      </c>
      <c r="D558" s="120">
        <v>143500000</v>
      </c>
      <c r="E558" s="220">
        <f>E559</f>
        <v>127800000</v>
      </c>
      <c r="F558" s="699">
        <f t="shared" si="30"/>
        <v>89.059233449477347</v>
      </c>
      <c r="G558" s="117">
        <f t="shared" si="31"/>
        <v>89.059233449477347</v>
      </c>
      <c r="H558" s="183"/>
    </row>
    <row r="559" spans="2:8" ht="17.25" customHeight="1" x14ac:dyDescent="0.25">
      <c r="B559" s="179"/>
      <c r="C559" s="268" t="s">
        <v>2093</v>
      </c>
      <c r="D559" s="107">
        <v>143500000</v>
      </c>
      <c r="E559" s="221">
        <v>127800000</v>
      </c>
      <c r="F559" s="699">
        <f t="shared" si="30"/>
        <v>89.059233449477347</v>
      </c>
      <c r="G559" s="117">
        <f t="shared" si="31"/>
        <v>89.059233449477347</v>
      </c>
      <c r="H559" s="183"/>
    </row>
    <row r="560" spans="2:8" ht="17.25" customHeight="1" x14ac:dyDescent="0.25">
      <c r="B560" s="179"/>
      <c r="C560" s="267" t="s">
        <v>182</v>
      </c>
      <c r="D560" s="120">
        <v>1882526850</v>
      </c>
      <c r="E560" s="220">
        <f>SUM(E561:E562)</f>
        <v>1794824000</v>
      </c>
      <c r="F560" s="699">
        <f t="shared" si="30"/>
        <v>95.341216514388634</v>
      </c>
      <c r="G560" s="117">
        <f t="shared" si="31"/>
        <v>95.341216514388634</v>
      </c>
      <c r="H560" s="183"/>
    </row>
    <row r="561" spans="2:8" ht="17.25" customHeight="1" x14ac:dyDescent="0.25">
      <c r="B561" s="179"/>
      <c r="C561" s="268" t="s">
        <v>2094</v>
      </c>
      <c r="D561" s="107">
        <v>286850000</v>
      </c>
      <c r="E561" s="221">
        <v>285950000</v>
      </c>
      <c r="F561" s="699">
        <f t="shared" si="30"/>
        <v>99.686247167509151</v>
      </c>
      <c r="G561" s="117">
        <f t="shared" si="31"/>
        <v>99.686247167509151</v>
      </c>
      <c r="H561" s="183"/>
    </row>
    <row r="562" spans="2:8" ht="27" customHeight="1" x14ac:dyDescent="0.25">
      <c r="B562" s="179"/>
      <c r="C562" s="268" t="s">
        <v>2095</v>
      </c>
      <c r="D562" s="107">
        <v>1595676850</v>
      </c>
      <c r="E562" s="221">
        <v>1508874000</v>
      </c>
      <c r="F562" s="699">
        <f t="shared" si="30"/>
        <v>94.560123498689592</v>
      </c>
      <c r="G562" s="117">
        <f t="shared" si="31"/>
        <v>94.560123498689592</v>
      </c>
      <c r="H562" s="183"/>
    </row>
    <row r="563" spans="2:8" ht="17.25" customHeight="1" x14ac:dyDescent="0.25">
      <c r="B563" s="179"/>
      <c r="C563" s="267" t="s">
        <v>2096</v>
      </c>
      <c r="D563" s="120">
        <v>217225000</v>
      </c>
      <c r="E563" s="220">
        <f>E564</f>
        <v>194055000</v>
      </c>
      <c r="F563" s="699">
        <f t="shared" si="30"/>
        <v>89.333640234779608</v>
      </c>
      <c r="G563" s="117">
        <f t="shared" si="31"/>
        <v>89.333640234779608</v>
      </c>
      <c r="H563" s="183"/>
    </row>
    <row r="564" spans="2:8" ht="17.25" customHeight="1" x14ac:dyDescent="0.25">
      <c r="B564" s="179"/>
      <c r="C564" s="268" t="s">
        <v>2097</v>
      </c>
      <c r="D564" s="107">
        <v>217225000</v>
      </c>
      <c r="E564" s="221">
        <v>194055000</v>
      </c>
      <c r="F564" s="699">
        <f t="shared" si="30"/>
        <v>89.333640234779608</v>
      </c>
      <c r="G564" s="117">
        <f t="shared" si="31"/>
        <v>89.333640234779608</v>
      </c>
      <c r="H564" s="183"/>
    </row>
    <row r="565" spans="2:8" ht="17.25" customHeight="1" x14ac:dyDescent="0.25">
      <c r="B565" s="179"/>
      <c r="C565" s="268"/>
      <c r="D565" s="107"/>
      <c r="E565" s="108"/>
      <c r="F565" s="699"/>
      <c r="G565" s="117">
        <f t="shared" si="31"/>
        <v>0</v>
      </c>
      <c r="H565" s="183"/>
    </row>
    <row r="566" spans="2:8" ht="17.25" customHeight="1" x14ac:dyDescent="0.25">
      <c r="B566" s="179"/>
      <c r="C566" s="267" t="s">
        <v>2098</v>
      </c>
      <c r="D566" s="120">
        <f>D567+D569</f>
        <v>3000000000</v>
      </c>
      <c r="E566" s="220">
        <f>E567+E569</f>
        <v>2989071010</v>
      </c>
      <c r="F566" s="699">
        <f t="shared" si="30"/>
        <v>99.635700333333332</v>
      </c>
      <c r="G566" s="117">
        <f t="shared" si="31"/>
        <v>99.635700333333332</v>
      </c>
      <c r="H566" s="183"/>
    </row>
    <row r="567" spans="2:8" ht="17.25" customHeight="1" x14ac:dyDescent="0.25">
      <c r="B567" s="179"/>
      <c r="C567" s="267" t="s">
        <v>156</v>
      </c>
      <c r="D567" s="120">
        <v>2460000000</v>
      </c>
      <c r="E567" s="220">
        <f>E568</f>
        <v>2449071010</v>
      </c>
      <c r="F567" s="699">
        <f t="shared" si="30"/>
        <v>99.555732113821136</v>
      </c>
      <c r="G567" s="117">
        <f t="shared" si="31"/>
        <v>99.555732113821136</v>
      </c>
      <c r="H567" s="183"/>
    </row>
    <row r="568" spans="2:8" ht="27" customHeight="1" x14ac:dyDescent="0.25">
      <c r="B568" s="179"/>
      <c r="C568" s="268" t="s">
        <v>2088</v>
      </c>
      <c r="D568" s="107">
        <v>2460000000</v>
      </c>
      <c r="E568" s="221">
        <v>2449071010</v>
      </c>
      <c r="F568" s="699">
        <f t="shared" si="30"/>
        <v>99.555732113821136</v>
      </c>
      <c r="G568" s="117">
        <f t="shared" si="31"/>
        <v>99.555732113821136</v>
      </c>
      <c r="H568" s="183"/>
    </row>
    <row r="569" spans="2:8" s="154" customFormat="1" ht="17.25" customHeight="1" x14ac:dyDescent="0.25">
      <c r="B569" s="184"/>
      <c r="C569" s="267" t="s">
        <v>2099</v>
      </c>
      <c r="D569" s="120">
        <v>540000000</v>
      </c>
      <c r="E569" s="220">
        <f>E570</f>
        <v>540000000</v>
      </c>
      <c r="F569" s="699">
        <f t="shared" si="30"/>
        <v>100</v>
      </c>
      <c r="G569" s="117">
        <f t="shared" si="31"/>
        <v>100</v>
      </c>
      <c r="H569" s="188"/>
    </row>
    <row r="570" spans="2:8" ht="17.25" customHeight="1" x14ac:dyDescent="0.25">
      <c r="B570" s="179"/>
      <c r="C570" s="268" t="s">
        <v>2100</v>
      </c>
      <c r="D570" s="107">
        <v>540000000</v>
      </c>
      <c r="E570" s="221">
        <v>540000000</v>
      </c>
      <c r="F570" s="699">
        <f t="shared" si="30"/>
        <v>100</v>
      </c>
      <c r="G570" s="117">
        <f t="shared" si="31"/>
        <v>100</v>
      </c>
      <c r="H570" s="183"/>
    </row>
    <row r="571" spans="2:8" ht="17.25" customHeight="1" x14ac:dyDescent="0.25">
      <c r="B571" s="179"/>
      <c r="C571" s="232"/>
      <c r="D571" s="107"/>
      <c r="E571" s="582"/>
      <c r="F571" s="116"/>
      <c r="G571" s="117"/>
      <c r="H571" s="183"/>
    </row>
    <row r="572" spans="2:8" s="154" customFormat="1" ht="17.25" customHeight="1" x14ac:dyDescent="0.25">
      <c r="B572" s="184"/>
      <c r="C572" s="703" t="s">
        <v>1478</v>
      </c>
      <c r="D572" s="120">
        <f>+D573</f>
        <v>568481500</v>
      </c>
      <c r="E572" s="704">
        <f>E573</f>
        <v>560381500</v>
      </c>
      <c r="F572" s="195">
        <f>+E572/D572*100</f>
        <v>98.5751515220812</v>
      </c>
      <c r="G572" s="114">
        <v>99.999922355620058</v>
      </c>
      <c r="H572" s="188"/>
    </row>
    <row r="573" spans="2:8" s="154" customFormat="1" ht="17.25" customHeight="1" x14ac:dyDescent="0.25">
      <c r="B573" s="184"/>
      <c r="C573" s="703" t="s">
        <v>744</v>
      </c>
      <c r="D573" s="120">
        <f>+D574+D575+D576</f>
        <v>568481500</v>
      </c>
      <c r="E573" s="704">
        <f>SUM(E574:E576)</f>
        <v>560381500</v>
      </c>
      <c r="F573" s="195">
        <f>+E573/D573*100</f>
        <v>98.5751515220812</v>
      </c>
      <c r="G573" s="114">
        <v>99.999922355620058</v>
      </c>
      <c r="H573" s="188"/>
    </row>
    <row r="574" spans="2:8" ht="17.25" customHeight="1" x14ac:dyDescent="0.25">
      <c r="B574" s="179"/>
      <c r="C574" s="232" t="s">
        <v>2111</v>
      </c>
      <c r="D574" s="107">
        <v>186155000</v>
      </c>
      <c r="E574" s="54">
        <v>178955000</v>
      </c>
      <c r="F574" s="195">
        <f>+E574/D574*100</f>
        <v>96.132255378582371</v>
      </c>
      <c r="G574" s="114">
        <v>99.999922355620058</v>
      </c>
      <c r="H574" s="183"/>
    </row>
    <row r="575" spans="2:8" ht="17.25" customHeight="1" x14ac:dyDescent="0.25">
      <c r="B575" s="179"/>
      <c r="C575" s="232" t="s">
        <v>2112</v>
      </c>
      <c r="D575" s="107">
        <v>253715500</v>
      </c>
      <c r="E575" s="54">
        <v>252815500</v>
      </c>
      <c r="F575" s="195">
        <f>+E575/D575*100</f>
        <v>99.645271968011414</v>
      </c>
      <c r="G575" s="114">
        <v>99.999922355620058</v>
      </c>
      <c r="H575" s="183"/>
    </row>
    <row r="576" spans="2:8" ht="17.25" customHeight="1" x14ac:dyDescent="0.25">
      <c r="B576" s="179"/>
      <c r="C576" s="232" t="s">
        <v>2113</v>
      </c>
      <c r="D576" s="107">
        <v>128611000</v>
      </c>
      <c r="E576" s="54">
        <v>128611000</v>
      </c>
      <c r="F576" s="195">
        <f>+E576/D576*100</f>
        <v>100</v>
      </c>
      <c r="G576" s="117">
        <v>100</v>
      </c>
      <c r="H576" s="183"/>
    </row>
    <row r="577" spans="2:8" ht="17.25" customHeight="1" x14ac:dyDescent="0.25">
      <c r="B577" s="179"/>
      <c r="C577" s="183"/>
      <c r="D577" s="181"/>
      <c r="E577" s="54"/>
      <c r="F577" s="53"/>
      <c r="G577" s="117"/>
      <c r="H577" s="183"/>
    </row>
    <row r="578" spans="2:8" s="115" customFormat="1" ht="17.25" customHeight="1" x14ac:dyDescent="0.25">
      <c r="B578" s="159">
        <v>11</v>
      </c>
      <c r="C578" s="217" t="s">
        <v>2151</v>
      </c>
      <c r="D578" s="120">
        <f>D579</f>
        <v>15613693500</v>
      </c>
      <c r="E578" s="125">
        <f>E579</f>
        <v>13603706000</v>
      </c>
      <c r="F578" s="195">
        <f>+E578/D578*100</f>
        <v>87.126764720980333</v>
      </c>
      <c r="G578" s="114">
        <f>G579</f>
        <v>87.092592592592581</v>
      </c>
      <c r="H578" s="121"/>
    </row>
    <row r="579" spans="2:8" ht="17.25" customHeight="1" x14ac:dyDescent="0.25">
      <c r="B579" s="179"/>
      <c r="C579" s="450" t="s">
        <v>1020</v>
      </c>
      <c r="D579" s="460">
        <v>15613693500</v>
      </c>
      <c r="E579" s="254">
        <v>13603706000</v>
      </c>
      <c r="F579" s="699">
        <f t="shared" ref="F579:F610" si="32">+E579/D579*100</f>
        <v>87.126764720980333</v>
      </c>
      <c r="G579" s="449">
        <f>(+G580+G582+G585+G588+G598+G601+G604+G609+G611)/9</f>
        <v>87.092592592592581</v>
      </c>
      <c r="H579" s="183"/>
    </row>
    <row r="580" spans="2:8" ht="17.25" customHeight="1" x14ac:dyDescent="0.25">
      <c r="B580" s="179"/>
      <c r="C580" s="450" t="s">
        <v>1899</v>
      </c>
      <c r="D580" s="461">
        <f>+D581</f>
        <v>128900000</v>
      </c>
      <c r="E580" s="254">
        <f>+E581</f>
        <v>127200000</v>
      </c>
      <c r="F580" s="699">
        <f t="shared" si="32"/>
        <v>98.681148176881308</v>
      </c>
      <c r="G580" s="452">
        <v>99</v>
      </c>
      <c r="H580" s="183"/>
    </row>
    <row r="581" spans="2:8" ht="15.75" customHeight="1" x14ac:dyDescent="0.2">
      <c r="B581" s="179"/>
      <c r="C581" s="457" t="s">
        <v>2177</v>
      </c>
      <c r="D581" s="462">
        <v>128900000</v>
      </c>
      <c r="E581" s="253">
        <v>127200000</v>
      </c>
      <c r="F581" s="687">
        <f t="shared" si="32"/>
        <v>98.681148176881308</v>
      </c>
      <c r="G581" s="455">
        <v>99</v>
      </c>
      <c r="H581" s="183"/>
    </row>
    <row r="582" spans="2:8" ht="17.25" customHeight="1" x14ac:dyDescent="0.25">
      <c r="B582" s="179"/>
      <c r="C582" s="463" t="s">
        <v>1913</v>
      </c>
      <c r="D582" s="464">
        <f>+D583+D584</f>
        <v>2684000000</v>
      </c>
      <c r="E582" s="254">
        <f>+E583</f>
        <v>434000000</v>
      </c>
      <c r="F582" s="699">
        <f t="shared" si="32"/>
        <v>16.169895678092399</v>
      </c>
      <c r="G582" s="452">
        <f>SUM(G583:G584)/2</f>
        <v>93.5</v>
      </c>
      <c r="H582" s="183"/>
    </row>
    <row r="583" spans="2:8" ht="17.25" customHeight="1" x14ac:dyDescent="0.25">
      <c r="B583" s="179"/>
      <c r="C583" s="465" t="s">
        <v>2178</v>
      </c>
      <c r="D583" s="466">
        <v>434000000</v>
      </c>
      <c r="E583" s="253">
        <v>434000000</v>
      </c>
      <c r="F583" s="687">
        <f t="shared" si="32"/>
        <v>100</v>
      </c>
      <c r="G583" s="455">
        <v>100</v>
      </c>
      <c r="H583" s="183"/>
    </row>
    <row r="584" spans="2:8" ht="17.25" customHeight="1" x14ac:dyDescent="0.25">
      <c r="B584" s="179"/>
      <c r="C584" s="453" t="s">
        <v>2179</v>
      </c>
      <c r="D584" s="462">
        <v>2250000000</v>
      </c>
      <c r="E584" s="253">
        <v>1949000000</v>
      </c>
      <c r="F584" s="687">
        <f t="shared" si="32"/>
        <v>86.62222222222222</v>
      </c>
      <c r="G584" s="455">
        <v>87</v>
      </c>
      <c r="H584" s="183"/>
    </row>
    <row r="585" spans="2:8" ht="17.25" customHeight="1" x14ac:dyDescent="0.25">
      <c r="B585" s="179"/>
      <c r="C585" s="450" t="s">
        <v>1916</v>
      </c>
      <c r="D585" s="467">
        <f>+D586+D587</f>
        <v>2846000000</v>
      </c>
      <c r="E585" s="254">
        <f>+E586+E587</f>
        <v>2288500000</v>
      </c>
      <c r="F585" s="699">
        <f t="shared" si="32"/>
        <v>80.41110330288123</v>
      </c>
      <c r="G585" s="452">
        <f>SUM(G586:G587)/2</f>
        <v>60</v>
      </c>
      <c r="H585" s="183"/>
    </row>
    <row r="586" spans="2:8" ht="17.25" customHeight="1" x14ac:dyDescent="0.25">
      <c r="B586" s="179"/>
      <c r="C586" s="453" t="s">
        <v>2180</v>
      </c>
      <c r="D586" s="462">
        <v>2166000000</v>
      </c>
      <c r="E586" s="253">
        <v>2144900000</v>
      </c>
      <c r="F586" s="687">
        <f t="shared" si="32"/>
        <v>99.025854108956608</v>
      </c>
      <c r="G586" s="455">
        <v>99</v>
      </c>
      <c r="H586" s="183"/>
    </row>
    <row r="587" spans="2:8" ht="37.5" customHeight="1" x14ac:dyDescent="0.25">
      <c r="B587" s="179"/>
      <c r="C587" s="453" t="s">
        <v>2181</v>
      </c>
      <c r="D587" s="462">
        <v>680000000</v>
      </c>
      <c r="E587" s="253">
        <v>143600000</v>
      </c>
      <c r="F587" s="687">
        <f t="shared" si="32"/>
        <v>21.117647058823529</v>
      </c>
      <c r="G587" s="455">
        <v>21</v>
      </c>
      <c r="H587" s="183"/>
    </row>
    <row r="588" spans="2:8" ht="17.25" customHeight="1" x14ac:dyDescent="0.25">
      <c r="B588" s="179"/>
      <c r="C588" s="450" t="s">
        <v>1920</v>
      </c>
      <c r="D588" s="467">
        <f>+D589+D590+D591+D592+D593+D594+D595+D596+D597</f>
        <v>1986750000</v>
      </c>
      <c r="E588" s="254">
        <f>+E589+E590+E591+E592+E593+E594+E595+E596+E597</f>
        <v>1645031000</v>
      </c>
      <c r="F588" s="699">
        <f t="shared" si="32"/>
        <v>82.800100666918325</v>
      </c>
      <c r="G588" s="452">
        <f>SUM(G589:G597)/9</f>
        <v>80.333333333333329</v>
      </c>
      <c r="H588" s="183"/>
    </row>
    <row r="589" spans="2:8" ht="17.25" customHeight="1" x14ac:dyDescent="0.2">
      <c r="B589" s="179"/>
      <c r="C589" s="457" t="s">
        <v>2182</v>
      </c>
      <c r="D589" s="462">
        <v>198000000</v>
      </c>
      <c r="E589" s="253">
        <v>57000000</v>
      </c>
      <c r="F589" s="687">
        <f t="shared" si="32"/>
        <v>28.787878787878789</v>
      </c>
      <c r="G589" s="455">
        <v>29</v>
      </c>
      <c r="H589" s="183"/>
    </row>
    <row r="590" spans="2:8" ht="17.25" customHeight="1" x14ac:dyDescent="0.25">
      <c r="B590" s="179"/>
      <c r="C590" s="453" t="s">
        <v>2183</v>
      </c>
      <c r="D590" s="462">
        <v>142800000</v>
      </c>
      <c r="E590" s="253">
        <v>142800000</v>
      </c>
      <c r="F590" s="687">
        <f t="shared" si="32"/>
        <v>100</v>
      </c>
      <c r="G590" s="455">
        <v>100</v>
      </c>
      <c r="H590" s="183"/>
    </row>
    <row r="591" spans="2:8" ht="17.25" customHeight="1" x14ac:dyDescent="0.25">
      <c r="B591" s="179"/>
      <c r="C591" s="453" t="s">
        <v>2184</v>
      </c>
      <c r="D591" s="462">
        <v>180500000</v>
      </c>
      <c r="E591" s="253">
        <v>79200000</v>
      </c>
      <c r="F591" s="687">
        <f t="shared" si="32"/>
        <v>43.878116343490305</v>
      </c>
      <c r="G591" s="455">
        <v>44</v>
      </c>
      <c r="H591" s="183"/>
    </row>
    <row r="592" spans="2:8" ht="17.25" customHeight="1" x14ac:dyDescent="0.25">
      <c r="B592" s="179"/>
      <c r="C592" s="453" t="s">
        <v>2185</v>
      </c>
      <c r="D592" s="462">
        <v>210400000</v>
      </c>
      <c r="E592" s="253">
        <v>200400000</v>
      </c>
      <c r="F592" s="687">
        <f t="shared" si="32"/>
        <v>95.247148288973378</v>
      </c>
      <c r="G592" s="455">
        <v>95</v>
      </c>
      <c r="H592" s="183"/>
    </row>
    <row r="593" spans="2:8" ht="17.25" customHeight="1" x14ac:dyDescent="0.25">
      <c r="B593" s="179"/>
      <c r="C593" s="453" t="s">
        <v>2186</v>
      </c>
      <c r="D593" s="462">
        <v>192500000</v>
      </c>
      <c r="E593" s="253">
        <v>105500000</v>
      </c>
      <c r="F593" s="687">
        <f t="shared" si="32"/>
        <v>54.805194805194802</v>
      </c>
      <c r="G593" s="455">
        <v>55</v>
      </c>
      <c r="H593" s="183"/>
    </row>
    <row r="594" spans="2:8" ht="27.75" customHeight="1" x14ac:dyDescent="0.25">
      <c r="B594" s="179"/>
      <c r="C594" s="453" t="s">
        <v>2187</v>
      </c>
      <c r="D594" s="462">
        <v>132900000</v>
      </c>
      <c r="E594" s="253">
        <v>132900000</v>
      </c>
      <c r="F594" s="687">
        <f t="shared" si="32"/>
        <v>100</v>
      </c>
      <c r="G594" s="455">
        <v>100</v>
      </c>
      <c r="H594" s="183"/>
    </row>
    <row r="595" spans="2:8" ht="17.25" customHeight="1" x14ac:dyDescent="0.25">
      <c r="B595" s="179"/>
      <c r="C595" s="453" t="s">
        <v>2188</v>
      </c>
      <c r="D595" s="462">
        <v>139200000</v>
      </c>
      <c r="E595" s="253">
        <v>138923000</v>
      </c>
      <c r="F595" s="687">
        <f t="shared" si="32"/>
        <v>99.801005747126439</v>
      </c>
      <c r="G595" s="455">
        <v>100</v>
      </c>
      <c r="H595" s="183"/>
    </row>
    <row r="596" spans="2:8" ht="27.75" customHeight="1" x14ac:dyDescent="0.25">
      <c r="B596" s="179"/>
      <c r="C596" s="453" t="s">
        <v>2189</v>
      </c>
      <c r="D596" s="462">
        <v>580200000</v>
      </c>
      <c r="E596" s="253">
        <v>578125000</v>
      </c>
      <c r="F596" s="687">
        <f t="shared" si="32"/>
        <v>99.642364701826963</v>
      </c>
      <c r="G596" s="455">
        <v>100</v>
      </c>
      <c r="H596" s="183"/>
    </row>
    <row r="597" spans="2:8" ht="27.75" customHeight="1" x14ac:dyDescent="0.25">
      <c r="B597" s="179"/>
      <c r="C597" s="453" t="s">
        <v>2190</v>
      </c>
      <c r="D597" s="462">
        <v>210250000</v>
      </c>
      <c r="E597" s="253">
        <v>210183000</v>
      </c>
      <c r="F597" s="687">
        <f t="shared" si="32"/>
        <v>99.968133174791916</v>
      </c>
      <c r="G597" s="455">
        <v>100</v>
      </c>
      <c r="H597" s="183"/>
    </row>
    <row r="598" spans="2:8" ht="17.25" customHeight="1" x14ac:dyDescent="0.25">
      <c r="B598" s="179"/>
      <c r="C598" s="450" t="s">
        <v>2191</v>
      </c>
      <c r="D598" s="467">
        <f>+D599+D600</f>
        <v>3449862500</v>
      </c>
      <c r="E598" s="254">
        <f>+E599+E600</f>
        <v>3124290000</v>
      </c>
      <c r="F598" s="699">
        <f t="shared" si="32"/>
        <v>90.562739819340621</v>
      </c>
      <c r="G598" s="452">
        <f>SUM(G599:G600)/2</f>
        <v>94</v>
      </c>
      <c r="H598" s="183"/>
    </row>
    <row r="599" spans="2:8" ht="17.25" customHeight="1" x14ac:dyDescent="0.25">
      <c r="B599" s="179"/>
      <c r="C599" s="453" t="s">
        <v>2192</v>
      </c>
      <c r="D599" s="462">
        <v>155300000</v>
      </c>
      <c r="E599" s="253">
        <v>152400000</v>
      </c>
      <c r="F599" s="687">
        <f t="shared" si="32"/>
        <v>98.132646490663234</v>
      </c>
      <c r="G599" s="455">
        <v>98</v>
      </c>
      <c r="H599" s="183"/>
    </row>
    <row r="600" spans="2:8" ht="17.25" customHeight="1" x14ac:dyDescent="0.25">
      <c r="B600" s="179"/>
      <c r="C600" s="453" t="s">
        <v>2193</v>
      </c>
      <c r="D600" s="462">
        <v>3294562500</v>
      </c>
      <c r="E600" s="253">
        <v>2971890000</v>
      </c>
      <c r="F600" s="687">
        <f t="shared" si="32"/>
        <v>90.20590746115758</v>
      </c>
      <c r="G600" s="455">
        <v>90</v>
      </c>
      <c r="H600" s="183"/>
    </row>
    <row r="601" spans="2:8" ht="17.25" customHeight="1" x14ac:dyDescent="0.25">
      <c r="B601" s="179"/>
      <c r="C601" s="450" t="s">
        <v>2194</v>
      </c>
      <c r="D601" s="467">
        <f>+D602+D603</f>
        <v>1127369350</v>
      </c>
      <c r="E601" s="254">
        <f>+E602+E603</f>
        <v>1122495000</v>
      </c>
      <c r="F601" s="699">
        <f t="shared" si="32"/>
        <v>99.56763504347532</v>
      </c>
      <c r="G601" s="452">
        <f>SUM(G602:G603)/2</f>
        <v>99.5</v>
      </c>
      <c r="H601" s="183"/>
    </row>
    <row r="602" spans="2:8" ht="27.75" customHeight="1" x14ac:dyDescent="0.25">
      <c r="B602" s="179"/>
      <c r="C602" s="453" t="s">
        <v>2195</v>
      </c>
      <c r="D602" s="462">
        <v>690000000</v>
      </c>
      <c r="E602" s="253">
        <v>688160000</v>
      </c>
      <c r="F602" s="687">
        <f t="shared" si="32"/>
        <v>99.733333333333334</v>
      </c>
      <c r="G602" s="455">
        <v>100</v>
      </c>
      <c r="H602" s="183"/>
    </row>
    <row r="603" spans="2:8" ht="17.25" customHeight="1" x14ac:dyDescent="0.25">
      <c r="B603" s="179"/>
      <c r="C603" s="453" t="s">
        <v>2196</v>
      </c>
      <c r="D603" s="462">
        <v>437369350</v>
      </c>
      <c r="E603" s="253">
        <v>434335000</v>
      </c>
      <c r="F603" s="687">
        <f t="shared" si="32"/>
        <v>99.306227105305851</v>
      </c>
      <c r="G603" s="455">
        <v>99</v>
      </c>
      <c r="H603" s="183"/>
    </row>
    <row r="604" spans="2:8" ht="17.25" customHeight="1" x14ac:dyDescent="0.25">
      <c r="B604" s="179"/>
      <c r="C604" s="450" t="s">
        <v>2197</v>
      </c>
      <c r="D604" s="467">
        <f>+D605+D606+D607+D608</f>
        <v>1437900000</v>
      </c>
      <c r="E604" s="254">
        <f>+E605+E606+E607+E608</f>
        <v>1052700000</v>
      </c>
      <c r="F604" s="699">
        <f t="shared" si="32"/>
        <v>73.210932610056332</v>
      </c>
      <c r="G604" s="452">
        <f>SUM(G605:G608)/4</f>
        <v>67.5</v>
      </c>
      <c r="H604" s="183"/>
    </row>
    <row r="605" spans="2:8" ht="17.25" customHeight="1" x14ac:dyDescent="0.25">
      <c r="B605" s="179"/>
      <c r="C605" s="453" t="s">
        <v>2198</v>
      </c>
      <c r="D605" s="462">
        <v>477000000</v>
      </c>
      <c r="E605" s="253">
        <v>281600000</v>
      </c>
      <c r="F605" s="687">
        <f t="shared" si="32"/>
        <v>59.035639412997909</v>
      </c>
      <c r="G605" s="455">
        <v>59</v>
      </c>
      <c r="H605" s="183"/>
    </row>
    <row r="606" spans="2:8" ht="17.25" customHeight="1" x14ac:dyDescent="0.25">
      <c r="B606" s="179"/>
      <c r="C606" s="453" t="s">
        <v>2199</v>
      </c>
      <c r="D606" s="462">
        <v>600000000</v>
      </c>
      <c r="E606" s="253">
        <v>595100000</v>
      </c>
      <c r="F606" s="687">
        <f t="shared" si="32"/>
        <v>99.183333333333337</v>
      </c>
      <c r="G606" s="455">
        <v>99</v>
      </c>
      <c r="H606" s="183"/>
    </row>
    <row r="607" spans="2:8" ht="17.25" customHeight="1" x14ac:dyDescent="0.25">
      <c r="B607" s="179"/>
      <c r="C607" s="453" t="s">
        <v>2200</v>
      </c>
      <c r="D607" s="462">
        <v>210000000</v>
      </c>
      <c r="E607" s="253">
        <v>27000000</v>
      </c>
      <c r="F607" s="687">
        <f t="shared" si="32"/>
        <v>12.857142857142856</v>
      </c>
      <c r="G607" s="455">
        <v>13</v>
      </c>
      <c r="H607" s="183"/>
    </row>
    <row r="608" spans="2:8" ht="17.25" customHeight="1" x14ac:dyDescent="0.25">
      <c r="B608" s="179"/>
      <c r="C608" s="453" t="s">
        <v>2185</v>
      </c>
      <c r="D608" s="462">
        <v>150900000</v>
      </c>
      <c r="E608" s="253">
        <v>149000000</v>
      </c>
      <c r="F608" s="687">
        <f t="shared" si="32"/>
        <v>98.740888005301514</v>
      </c>
      <c r="G608" s="455">
        <v>99</v>
      </c>
      <c r="H608" s="183"/>
    </row>
    <row r="609" spans="2:8" ht="17.25" customHeight="1" x14ac:dyDescent="0.25">
      <c r="B609" s="179"/>
      <c r="C609" s="463" t="s">
        <v>2201</v>
      </c>
      <c r="D609" s="464">
        <f>+D610</f>
        <v>916111650</v>
      </c>
      <c r="E609" s="254">
        <f>+E610</f>
        <v>831890000</v>
      </c>
      <c r="F609" s="699">
        <f t="shared" si="32"/>
        <v>90.806617293863695</v>
      </c>
      <c r="G609" s="452">
        <f>+G610</f>
        <v>91</v>
      </c>
      <c r="H609" s="183"/>
    </row>
    <row r="610" spans="2:8" ht="17.25" customHeight="1" x14ac:dyDescent="0.25">
      <c r="B610" s="179"/>
      <c r="C610" s="465" t="s">
        <v>2202</v>
      </c>
      <c r="D610" s="466">
        <v>916111650</v>
      </c>
      <c r="E610" s="253">
        <v>831890000</v>
      </c>
      <c r="F610" s="687">
        <f t="shared" si="32"/>
        <v>90.806617293863695</v>
      </c>
      <c r="G610" s="455">
        <v>91</v>
      </c>
      <c r="H610" s="183"/>
    </row>
    <row r="611" spans="2:8" ht="17.25" customHeight="1" x14ac:dyDescent="0.25">
      <c r="B611" s="179"/>
      <c r="C611" s="450" t="s">
        <v>2203</v>
      </c>
      <c r="D611" s="467">
        <f>+D612</f>
        <v>103680000000</v>
      </c>
      <c r="E611" s="254">
        <f>+E612</f>
        <v>1028600000</v>
      </c>
      <c r="F611" s="699">
        <f>+F612</f>
        <v>99</v>
      </c>
      <c r="G611" s="452">
        <f>+G612</f>
        <v>99</v>
      </c>
      <c r="H611" s="183"/>
    </row>
    <row r="612" spans="2:8" ht="17.25" customHeight="1" x14ac:dyDescent="0.25">
      <c r="B612" s="179"/>
      <c r="C612" s="453" t="s">
        <v>2204</v>
      </c>
      <c r="D612" s="462">
        <v>103680000000</v>
      </c>
      <c r="E612" s="253">
        <v>1028600000</v>
      </c>
      <c r="F612" s="687">
        <v>99</v>
      </c>
      <c r="G612" s="455">
        <v>99</v>
      </c>
      <c r="H612" s="183"/>
    </row>
    <row r="613" spans="2:8" ht="17.25" customHeight="1" x14ac:dyDescent="0.25">
      <c r="B613" s="179"/>
      <c r="C613" s="119"/>
      <c r="D613" s="172"/>
      <c r="E613" s="194"/>
      <c r="F613" s="195"/>
      <c r="G613" s="114"/>
      <c r="H613" s="183"/>
    </row>
    <row r="614" spans="2:8" s="154" customFormat="1" ht="17.25" customHeight="1" x14ac:dyDescent="0.25">
      <c r="B614" s="184">
        <v>12</v>
      </c>
      <c r="C614" s="217" t="s">
        <v>2259</v>
      </c>
      <c r="D614" s="185">
        <f>+D615+D625</f>
        <v>15852922026</v>
      </c>
      <c r="E614" s="705">
        <f>+E615+E625</f>
        <v>14901360000</v>
      </c>
      <c r="F614" s="195">
        <f>+E614/D614*100</f>
        <v>93.997560674055137</v>
      </c>
      <c r="G614" s="114">
        <f>(G615+G625)/2</f>
        <v>93.125</v>
      </c>
      <c r="H614" s="188"/>
    </row>
    <row r="615" spans="2:8" ht="17.25" customHeight="1" x14ac:dyDescent="0.25">
      <c r="B615" s="184"/>
      <c r="C615" s="706" t="s">
        <v>2276</v>
      </c>
      <c r="D615" s="621">
        <f>D616+D618+D620+D622</f>
        <v>14115417026</v>
      </c>
      <c r="E615" s="621">
        <f>E616+E618+E620+E622</f>
        <v>13164360000</v>
      </c>
      <c r="F615" s="195">
        <f t="shared" ref="F615:F623" si="33">+E615/D615*100</f>
        <v>93.262281771426274</v>
      </c>
      <c r="G615" s="114">
        <f>(G616+G618+G620+G622)/4</f>
        <v>86.25</v>
      </c>
      <c r="H615" s="183"/>
    </row>
    <row r="616" spans="2:8" ht="17.25" customHeight="1" x14ac:dyDescent="0.25">
      <c r="B616" s="179"/>
      <c r="C616" s="217" t="s">
        <v>2277</v>
      </c>
      <c r="D616" s="621">
        <f>D617</f>
        <v>1656000000</v>
      </c>
      <c r="E616" s="621">
        <f>E617</f>
        <v>1274866000</v>
      </c>
      <c r="F616" s="195">
        <f t="shared" si="33"/>
        <v>76.984661835748796</v>
      </c>
      <c r="G616" s="114">
        <f>G617</f>
        <v>75</v>
      </c>
      <c r="H616" s="183"/>
    </row>
    <row r="617" spans="2:8" ht="17.25" customHeight="1" x14ac:dyDescent="0.25">
      <c r="B617" s="179"/>
      <c r="C617" s="119" t="s">
        <v>2278</v>
      </c>
      <c r="D617" s="613">
        <v>1656000000</v>
      </c>
      <c r="E617" s="613">
        <v>1274866000</v>
      </c>
      <c r="F617" s="116">
        <f t="shared" si="33"/>
        <v>76.984661835748796</v>
      </c>
      <c r="G617" s="117">
        <v>75</v>
      </c>
      <c r="H617" s="183"/>
    </row>
    <row r="618" spans="2:8" ht="17.25" customHeight="1" x14ac:dyDescent="0.25">
      <c r="B618" s="179"/>
      <c r="C618" s="217" t="s">
        <v>1899</v>
      </c>
      <c r="D618" s="621">
        <f>D619</f>
        <v>1637303370</v>
      </c>
      <c r="E618" s="621">
        <v>1298448000</v>
      </c>
      <c r="F618" s="195">
        <f t="shared" si="33"/>
        <v>79.304057133895725</v>
      </c>
      <c r="G618" s="114">
        <f>G619</f>
        <v>100</v>
      </c>
      <c r="H618" s="183"/>
    </row>
    <row r="619" spans="2:8" ht="17.25" customHeight="1" x14ac:dyDescent="0.25">
      <c r="B619" s="179"/>
      <c r="C619" s="119" t="s">
        <v>2279</v>
      </c>
      <c r="D619" s="613">
        <v>1637303370</v>
      </c>
      <c r="E619" s="613">
        <v>1298448000</v>
      </c>
      <c r="F619" s="116">
        <f t="shared" si="33"/>
        <v>79.304057133895725</v>
      </c>
      <c r="G619" s="117">
        <v>100</v>
      </c>
      <c r="H619" s="183"/>
    </row>
    <row r="620" spans="2:8" ht="17.25" customHeight="1" x14ac:dyDescent="0.25">
      <c r="B620" s="179"/>
      <c r="C620" s="217" t="s">
        <v>1904</v>
      </c>
      <c r="D620" s="621">
        <f>D621</f>
        <v>7490400000</v>
      </c>
      <c r="E620" s="621">
        <f>E621</f>
        <v>7269346000</v>
      </c>
      <c r="F620" s="195">
        <f t="shared" si="33"/>
        <v>97.048835843212643</v>
      </c>
      <c r="G620" s="114">
        <f>G621</f>
        <v>100</v>
      </c>
      <c r="H620" s="183"/>
    </row>
    <row r="621" spans="2:8" ht="17.25" customHeight="1" x14ac:dyDescent="0.25">
      <c r="B621" s="179"/>
      <c r="C621" s="119" t="s">
        <v>2280</v>
      </c>
      <c r="D621" s="613">
        <v>7490400000</v>
      </c>
      <c r="E621" s="613">
        <v>7269346000</v>
      </c>
      <c r="F621" s="116">
        <f t="shared" si="33"/>
        <v>97.048835843212643</v>
      </c>
      <c r="G621" s="117">
        <v>100</v>
      </c>
      <c r="H621" s="183"/>
    </row>
    <row r="622" spans="2:8" ht="17.25" customHeight="1" x14ac:dyDescent="0.25">
      <c r="B622" s="179"/>
      <c r="C622" s="217" t="s">
        <v>2281</v>
      </c>
      <c r="D622" s="621">
        <f>D623</f>
        <v>3331713656</v>
      </c>
      <c r="E622" s="621">
        <f>E623</f>
        <v>3321700000</v>
      </c>
      <c r="F622" s="195">
        <f t="shared" si="33"/>
        <v>99.699444279013392</v>
      </c>
      <c r="G622" s="114">
        <f>G623</f>
        <v>70</v>
      </c>
      <c r="H622" s="183"/>
    </row>
    <row r="623" spans="2:8" ht="17.25" customHeight="1" x14ac:dyDescent="0.25">
      <c r="B623" s="179"/>
      <c r="C623" s="119" t="s">
        <v>2282</v>
      </c>
      <c r="D623" s="613">
        <v>3331713656</v>
      </c>
      <c r="E623" s="613">
        <v>3321700000</v>
      </c>
      <c r="F623" s="116">
        <f t="shared" si="33"/>
        <v>99.699444279013392</v>
      </c>
      <c r="G623" s="117">
        <v>70</v>
      </c>
      <c r="H623" s="183"/>
    </row>
    <row r="624" spans="2:8" ht="17.25" customHeight="1" x14ac:dyDescent="0.25">
      <c r="B624" s="179"/>
      <c r="C624" s="674"/>
      <c r="D624" s="111"/>
      <c r="E624" s="111"/>
      <c r="F624" s="195"/>
      <c r="G624" s="114"/>
      <c r="H624" s="183"/>
    </row>
    <row r="625" spans="2:8" ht="17.25" customHeight="1" x14ac:dyDescent="0.25">
      <c r="B625" s="184"/>
      <c r="C625" s="706" t="s">
        <v>2283</v>
      </c>
      <c r="D625" s="621">
        <f>D626+D628</f>
        <v>1737505000</v>
      </c>
      <c r="E625" s="621">
        <f>E626+E628</f>
        <v>1737000000</v>
      </c>
      <c r="F625" s="195">
        <f>+E625/D625*100</f>
        <v>99.970935335437886</v>
      </c>
      <c r="G625" s="114">
        <f>(G626+G628)/2</f>
        <v>100</v>
      </c>
      <c r="H625" s="183"/>
    </row>
    <row r="626" spans="2:8" ht="17.25" customHeight="1" x14ac:dyDescent="0.25">
      <c r="B626" s="179"/>
      <c r="C626" s="217" t="s">
        <v>1904</v>
      </c>
      <c r="D626" s="621">
        <f>D627</f>
        <v>900000000</v>
      </c>
      <c r="E626" s="621">
        <f>E627</f>
        <v>900000000</v>
      </c>
      <c r="F626" s="195">
        <f>+E626/D626*100</f>
        <v>100</v>
      </c>
      <c r="G626" s="114">
        <v>100</v>
      </c>
      <c r="H626" s="183"/>
    </row>
    <row r="627" spans="2:8" ht="17.25" customHeight="1" x14ac:dyDescent="0.25">
      <c r="B627" s="179"/>
      <c r="C627" s="119" t="s">
        <v>2284</v>
      </c>
      <c r="D627" s="613">
        <v>900000000</v>
      </c>
      <c r="E627" s="613">
        <v>900000000</v>
      </c>
      <c r="F627" s="116">
        <f>+E627/D627*100</f>
        <v>100</v>
      </c>
      <c r="G627" s="117">
        <v>100</v>
      </c>
      <c r="H627" s="183"/>
    </row>
    <row r="628" spans="2:8" ht="17.25" customHeight="1" x14ac:dyDescent="0.25">
      <c r="B628" s="179"/>
      <c r="C628" s="217" t="s">
        <v>2191</v>
      </c>
      <c r="D628" s="621">
        <f>SUM(D629:D629)</f>
        <v>837505000</v>
      </c>
      <c r="E628" s="621">
        <f>E629</f>
        <v>837000000</v>
      </c>
      <c r="F628" s="195">
        <f>+E628/D628*100</f>
        <v>99.939701852526255</v>
      </c>
      <c r="G628" s="114">
        <v>100</v>
      </c>
      <c r="H628" s="183"/>
    </row>
    <row r="629" spans="2:8" ht="17.25" customHeight="1" x14ac:dyDescent="0.25">
      <c r="B629" s="179"/>
      <c r="C629" s="119" t="s">
        <v>2285</v>
      </c>
      <c r="D629" s="613">
        <v>837505000</v>
      </c>
      <c r="E629" s="613">
        <v>837000000</v>
      </c>
      <c r="F629" s="116">
        <f>+E629/D629*100</f>
        <v>99.939701852526255</v>
      </c>
      <c r="G629" s="117">
        <v>100</v>
      </c>
      <c r="H629" s="183"/>
    </row>
    <row r="630" spans="2:8" ht="17.25" customHeight="1" x14ac:dyDescent="0.25">
      <c r="B630" s="179"/>
      <c r="C630" s="183"/>
      <c r="D630" s="107"/>
      <c r="E630" s="116"/>
      <c r="F630" s="195"/>
      <c r="G630" s="114"/>
      <c r="H630" s="183"/>
    </row>
    <row r="631" spans="2:8" s="154" customFormat="1" ht="17.25" customHeight="1" x14ac:dyDescent="0.25">
      <c r="B631" s="184">
        <v>13</v>
      </c>
      <c r="C631" s="48" t="s">
        <v>2370</v>
      </c>
      <c r="D631" s="185">
        <f>+D632+D656</f>
        <v>16604174100</v>
      </c>
      <c r="E631" s="185">
        <f>+E632+E656</f>
        <v>15631259124</v>
      </c>
      <c r="F631" s="186">
        <f>+E631/D631*100</f>
        <v>94.140539781499882</v>
      </c>
      <c r="G631" s="114">
        <f>(G632+G656)/2</f>
        <v>81.944444444444443</v>
      </c>
      <c r="H631" s="188"/>
    </row>
    <row r="632" spans="2:8" ht="17.25" customHeight="1" x14ac:dyDescent="0.25">
      <c r="B632" s="179"/>
      <c r="C632" s="316" t="s">
        <v>1020</v>
      </c>
      <c r="D632" s="485">
        <f>D633+D643+D646+D648+D637+D641</f>
        <v>8382250000</v>
      </c>
      <c r="E632" s="254">
        <f>E633+E643+E646+E648+E637+E641</f>
        <v>7552750000</v>
      </c>
      <c r="F632" s="707">
        <f t="shared" ref="F632:F654" si="34">(E632/D632)*100</f>
        <v>90.104088997584185</v>
      </c>
      <c r="G632" s="297">
        <f>(G633+G637+G641+G643+G646+G648)/6</f>
        <v>63.888888888888893</v>
      </c>
      <c r="H632" s="183"/>
    </row>
    <row r="633" spans="2:8" ht="17.25" customHeight="1" x14ac:dyDescent="0.25">
      <c r="B633" s="179"/>
      <c r="C633" s="316" t="s">
        <v>2431</v>
      </c>
      <c r="D633" s="485">
        <f>SUM(D634:D636)</f>
        <v>7575000000</v>
      </c>
      <c r="E633" s="254">
        <f>SUM(E634:E636)</f>
        <v>7142500000</v>
      </c>
      <c r="F633" s="707">
        <f t="shared" si="34"/>
        <v>94.290429042904293</v>
      </c>
      <c r="G633" s="297">
        <f>SUM(G634:G636)/3</f>
        <v>100</v>
      </c>
      <c r="H633" s="183"/>
    </row>
    <row r="634" spans="2:8" ht="17.25" customHeight="1" x14ac:dyDescent="0.25">
      <c r="B634" s="179"/>
      <c r="C634" s="412" t="s">
        <v>2432</v>
      </c>
      <c r="D634" s="486">
        <v>5400000000</v>
      </c>
      <c r="E634" s="108">
        <v>5400000000</v>
      </c>
      <c r="F634" s="708">
        <f t="shared" si="34"/>
        <v>100</v>
      </c>
      <c r="G634" s="276">
        <v>100</v>
      </c>
      <c r="H634" s="183"/>
    </row>
    <row r="635" spans="2:8" ht="21.75" customHeight="1" x14ac:dyDescent="0.25">
      <c r="B635" s="179"/>
      <c r="C635" s="412" t="s">
        <v>2433</v>
      </c>
      <c r="D635" s="486">
        <v>2100000000</v>
      </c>
      <c r="E635" s="108">
        <v>1667500000</v>
      </c>
      <c r="F635" s="708">
        <f t="shared" si="34"/>
        <v>79.404761904761898</v>
      </c>
      <c r="G635" s="276">
        <v>100</v>
      </c>
      <c r="H635" s="183"/>
    </row>
    <row r="636" spans="2:8" ht="17.25" customHeight="1" x14ac:dyDescent="0.25">
      <c r="B636" s="179"/>
      <c r="C636" s="412" t="s">
        <v>2434</v>
      </c>
      <c r="D636" s="486">
        <v>75000000</v>
      </c>
      <c r="E636" s="108">
        <v>75000000</v>
      </c>
      <c r="F636" s="708">
        <f t="shared" si="34"/>
        <v>100</v>
      </c>
      <c r="G636" s="276">
        <v>100</v>
      </c>
      <c r="H636" s="183"/>
    </row>
    <row r="637" spans="2:8" ht="17.25" customHeight="1" x14ac:dyDescent="0.25">
      <c r="B637" s="179"/>
      <c r="C637" s="487" t="s">
        <v>166</v>
      </c>
      <c r="D637" s="485">
        <f>SUM(D638:D640)</f>
        <v>225000000</v>
      </c>
      <c r="E637" s="254">
        <f>SUM(E638:E640)</f>
        <v>125000000</v>
      </c>
      <c r="F637" s="707">
        <f t="shared" si="34"/>
        <v>55.555555555555557</v>
      </c>
      <c r="G637" s="297">
        <f>SUM(G638:G640)/3</f>
        <v>33.333333333333336</v>
      </c>
      <c r="H637" s="183"/>
    </row>
    <row r="638" spans="2:8" ht="17.25" customHeight="1" x14ac:dyDescent="0.25">
      <c r="B638" s="179"/>
      <c r="C638" s="488" t="s">
        <v>2435</v>
      </c>
      <c r="D638" s="489">
        <v>50000000</v>
      </c>
      <c r="E638" s="108">
        <v>0</v>
      </c>
      <c r="F638" s="708">
        <f t="shared" si="34"/>
        <v>0</v>
      </c>
      <c r="G638" s="276">
        <v>0</v>
      </c>
      <c r="H638" s="183"/>
    </row>
    <row r="639" spans="2:8" ht="28.5" customHeight="1" x14ac:dyDescent="0.25">
      <c r="B639" s="179"/>
      <c r="C639" s="412" t="s">
        <v>2436</v>
      </c>
      <c r="D639" s="489">
        <v>50000000</v>
      </c>
      <c r="E639" s="108">
        <v>0</v>
      </c>
      <c r="F639" s="708">
        <f t="shared" si="34"/>
        <v>0</v>
      </c>
      <c r="G639" s="276">
        <v>0</v>
      </c>
      <c r="H639" s="183"/>
    </row>
    <row r="640" spans="2:8" ht="17.25" customHeight="1" x14ac:dyDescent="0.25">
      <c r="B640" s="179"/>
      <c r="C640" s="412" t="s">
        <v>2437</v>
      </c>
      <c r="D640" s="489">
        <v>125000000</v>
      </c>
      <c r="E640" s="108">
        <v>125000000</v>
      </c>
      <c r="F640" s="708">
        <f t="shared" si="34"/>
        <v>100</v>
      </c>
      <c r="G640" s="276">
        <v>100</v>
      </c>
      <c r="H640" s="183"/>
    </row>
    <row r="641" spans="2:8" ht="17.25" customHeight="1" x14ac:dyDescent="0.25">
      <c r="B641" s="179"/>
      <c r="C641" s="316" t="s">
        <v>168</v>
      </c>
      <c r="D641" s="485">
        <f>SUM(D642)</f>
        <v>50000000</v>
      </c>
      <c r="E641" s="254">
        <f>SUM(E642)</f>
        <v>0</v>
      </c>
      <c r="F641" s="707">
        <f t="shared" si="34"/>
        <v>0</v>
      </c>
      <c r="G641" s="297">
        <f>SUM(G642)/1</f>
        <v>0</v>
      </c>
      <c r="H641" s="183"/>
    </row>
    <row r="642" spans="2:8" ht="17.25" customHeight="1" x14ac:dyDescent="0.25">
      <c r="B642" s="179"/>
      <c r="C642" s="412" t="s">
        <v>2438</v>
      </c>
      <c r="D642" s="490">
        <v>50000000</v>
      </c>
      <c r="E642" s="108">
        <v>0</v>
      </c>
      <c r="F642" s="708">
        <f t="shared" si="34"/>
        <v>0</v>
      </c>
      <c r="G642" s="276">
        <v>0</v>
      </c>
      <c r="H642" s="183"/>
    </row>
    <row r="643" spans="2:8" ht="17.25" customHeight="1" x14ac:dyDescent="0.25">
      <c r="B643" s="179"/>
      <c r="C643" s="316" t="s">
        <v>175</v>
      </c>
      <c r="D643" s="485">
        <f>SUM(D644:D645)</f>
        <v>97000000</v>
      </c>
      <c r="E643" s="254">
        <f>SUM(E644:E645)</f>
        <v>50000000</v>
      </c>
      <c r="F643" s="707">
        <f t="shared" si="34"/>
        <v>51.546391752577314</v>
      </c>
      <c r="G643" s="297">
        <f>SUM(G644:G645)/2</f>
        <v>50</v>
      </c>
      <c r="H643" s="183"/>
    </row>
    <row r="644" spans="2:8" ht="17.25" customHeight="1" x14ac:dyDescent="0.25">
      <c r="B644" s="179"/>
      <c r="C644" s="412" t="s">
        <v>2439</v>
      </c>
      <c r="D644" s="491">
        <v>50000000</v>
      </c>
      <c r="E644" s="108">
        <v>50000000</v>
      </c>
      <c r="F644" s="708">
        <f t="shared" si="34"/>
        <v>100</v>
      </c>
      <c r="G644" s="276">
        <v>100</v>
      </c>
      <c r="H644" s="183"/>
    </row>
    <row r="645" spans="2:8" ht="17.25" customHeight="1" x14ac:dyDescent="0.25">
      <c r="B645" s="179"/>
      <c r="C645" s="412" t="s">
        <v>2440</v>
      </c>
      <c r="D645" s="492">
        <v>47000000</v>
      </c>
      <c r="E645" s="108">
        <v>0</v>
      </c>
      <c r="F645" s="708">
        <f t="shared" si="34"/>
        <v>0</v>
      </c>
      <c r="G645" s="276">
        <v>0</v>
      </c>
      <c r="H645" s="183"/>
    </row>
    <row r="646" spans="2:8" ht="17.25" customHeight="1" x14ac:dyDescent="0.25">
      <c r="B646" s="179"/>
      <c r="C646" s="316" t="s">
        <v>177</v>
      </c>
      <c r="D646" s="485">
        <f>SUM(D647)</f>
        <v>100000000</v>
      </c>
      <c r="E646" s="254">
        <f>SUM(E647)</f>
        <v>100000000</v>
      </c>
      <c r="F646" s="707">
        <f t="shared" si="34"/>
        <v>100</v>
      </c>
      <c r="G646" s="297">
        <f>SUM(G647)</f>
        <v>100</v>
      </c>
      <c r="H646" s="183"/>
    </row>
    <row r="647" spans="2:8" ht="17.25" customHeight="1" x14ac:dyDescent="0.25">
      <c r="B647" s="179"/>
      <c r="C647" s="412" t="s">
        <v>2441</v>
      </c>
      <c r="D647" s="493">
        <v>100000000</v>
      </c>
      <c r="E647" s="108">
        <v>100000000</v>
      </c>
      <c r="F647" s="708">
        <f t="shared" si="34"/>
        <v>100</v>
      </c>
      <c r="G647" s="276">
        <v>100</v>
      </c>
      <c r="H647" s="183"/>
    </row>
    <row r="648" spans="2:8" ht="17.25" customHeight="1" x14ac:dyDescent="0.25">
      <c r="B648" s="179"/>
      <c r="C648" s="316" t="s">
        <v>182</v>
      </c>
      <c r="D648" s="485">
        <f>SUM(D649:D654)</f>
        <v>335250000</v>
      </c>
      <c r="E648" s="254">
        <f>SUM(E649:E654)</f>
        <v>135250000</v>
      </c>
      <c r="F648" s="707">
        <f t="shared" si="34"/>
        <v>40.343027591349738</v>
      </c>
      <c r="G648" s="297">
        <f>SUM(G649:G650)/2</f>
        <v>100</v>
      </c>
      <c r="H648" s="183"/>
    </row>
    <row r="649" spans="2:8" ht="17.25" customHeight="1" x14ac:dyDescent="0.25">
      <c r="B649" s="179"/>
      <c r="C649" s="412" t="s">
        <v>2442</v>
      </c>
      <c r="D649" s="494">
        <v>50000000</v>
      </c>
      <c r="E649" s="108">
        <v>50000000</v>
      </c>
      <c r="F649" s="708">
        <f t="shared" si="34"/>
        <v>100</v>
      </c>
      <c r="G649" s="276">
        <v>100</v>
      </c>
      <c r="H649" s="183"/>
    </row>
    <row r="650" spans="2:8" ht="17.25" customHeight="1" x14ac:dyDescent="0.25">
      <c r="B650" s="179"/>
      <c r="C650" s="412" t="s">
        <v>2443</v>
      </c>
      <c r="D650" s="495">
        <v>85250000</v>
      </c>
      <c r="E650" s="108">
        <v>85250000</v>
      </c>
      <c r="F650" s="708">
        <f t="shared" si="34"/>
        <v>100</v>
      </c>
      <c r="G650" s="276">
        <v>100</v>
      </c>
      <c r="H650" s="183"/>
    </row>
    <row r="651" spans="2:8" ht="17.25" customHeight="1" x14ac:dyDescent="0.25">
      <c r="B651" s="179"/>
      <c r="C651" s="412" t="s">
        <v>2444</v>
      </c>
      <c r="D651" s="496">
        <v>50000000</v>
      </c>
      <c r="E651" s="108">
        <v>0</v>
      </c>
      <c r="F651" s="708">
        <f t="shared" si="34"/>
        <v>0</v>
      </c>
      <c r="G651" s="276">
        <v>0</v>
      </c>
      <c r="H651" s="183"/>
    </row>
    <row r="652" spans="2:8" ht="17.25" customHeight="1" x14ac:dyDescent="0.25">
      <c r="B652" s="179"/>
      <c r="C652" s="412" t="s">
        <v>2445</v>
      </c>
      <c r="D652" s="497">
        <v>50000000</v>
      </c>
      <c r="E652" s="108">
        <v>0</v>
      </c>
      <c r="F652" s="708">
        <f t="shared" si="34"/>
        <v>0</v>
      </c>
      <c r="G652" s="276">
        <v>0</v>
      </c>
      <c r="H652" s="183"/>
    </row>
    <row r="653" spans="2:8" ht="17.25" customHeight="1" x14ac:dyDescent="0.25">
      <c r="B653" s="179"/>
      <c r="C653" s="412" t="s">
        <v>2446</v>
      </c>
      <c r="D653" s="498">
        <v>50000000</v>
      </c>
      <c r="E653" s="108">
        <v>0</v>
      </c>
      <c r="F653" s="708">
        <f t="shared" si="34"/>
        <v>0</v>
      </c>
      <c r="G653" s="276">
        <v>0</v>
      </c>
      <c r="H653" s="183"/>
    </row>
    <row r="654" spans="2:8" ht="17.25" customHeight="1" x14ac:dyDescent="0.25">
      <c r="B654" s="179"/>
      <c r="C654" s="412" t="s">
        <v>2447</v>
      </c>
      <c r="D654" s="499">
        <v>50000000</v>
      </c>
      <c r="E654" s="108">
        <v>0</v>
      </c>
      <c r="F654" s="708">
        <f t="shared" si="34"/>
        <v>0</v>
      </c>
      <c r="G654" s="276">
        <v>0</v>
      </c>
      <c r="H654" s="183"/>
    </row>
    <row r="655" spans="2:8" ht="17.25" customHeight="1" x14ac:dyDescent="0.25">
      <c r="B655" s="179"/>
      <c r="C655" s="412"/>
      <c r="D655" s="474"/>
      <c r="E655" s="253"/>
      <c r="F655" s="708"/>
      <c r="G655" s="276"/>
      <c r="H655" s="183"/>
    </row>
    <row r="656" spans="2:8" ht="17.25" customHeight="1" x14ac:dyDescent="0.25">
      <c r="B656" s="179"/>
      <c r="C656" s="316" t="s">
        <v>2448</v>
      </c>
      <c r="D656" s="485">
        <f>D657+D661</f>
        <v>8221924100</v>
      </c>
      <c r="E656" s="254">
        <f>E657+E661</f>
        <v>8078509124</v>
      </c>
      <c r="F656" s="707">
        <f t="shared" ref="F656:F665" si="35">(E656/D656)*100</f>
        <v>98.25570056040776</v>
      </c>
      <c r="G656" s="297">
        <f>(G657+G661)/2</f>
        <v>100</v>
      </c>
      <c r="H656" s="183"/>
    </row>
    <row r="657" spans="2:8" ht="17.25" customHeight="1" x14ac:dyDescent="0.25">
      <c r="B657" s="179"/>
      <c r="C657" s="316" t="s">
        <v>156</v>
      </c>
      <c r="D657" s="485">
        <f>SUM(D658:D660)</f>
        <v>2136924100</v>
      </c>
      <c r="E657" s="254">
        <f>SUM(E658:E660)</f>
        <v>2000083124</v>
      </c>
      <c r="F657" s="707">
        <f t="shared" si="35"/>
        <v>93.59635768064949</v>
      </c>
      <c r="G657" s="297">
        <f>SUM(G658:G660)/3</f>
        <v>100</v>
      </c>
      <c r="H657" s="183"/>
    </row>
    <row r="658" spans="2:8" ht="17.25" customHeight="1" x14ac:dyDescent="0.25">
      <c r="B658" s="179"/>
      <c r="C658" s="412" t="s">
        <v>2449</v>
      </c>
      <c r="D658" s="500">
        <v>350000000</v>
      </c>
      <c r="E658" s="108">
        <v>346500000</v>
      </c>
      <c r="F658" s="708">
        <f t="shared" si="35"/>
        <v>99</v>
      </c>
      <c r="G658" s="276">
        <v>100</v>
      </c>
      <c r="H658" s="183"/>
    </row>
    <row r="659" spans="2:8" ht="17.25" customHeight="1" x14ac:dyDescent="0.25">
      <c r="B659" s="179"/>
      <c r="C659" s="412" t="s">
        <v>2450</v>
      </c>
      <c r="D659" s="500">
        <v>204924100</v>
      </c>
      <c r="E659" s="108">
        <v>198880000</v>
      </c>
      <c r="F659" s="708">
        <f t="shared" si="35"/>
        <v>97.050566526826273</v>
      </c>
      <c r="G659" s="276">
        <v>100</v>
      </c>
      <c r="H659" s="183"/>
    </row>
    <row r="660" spans="2:8" ht="17.25" customHeight="1" x14ac:dyDescent="0.25">
      <c r="B660" s="179"/>
      <c r="C660" s="412" t="s">
        <v>2451</v>
      </c>
      <c r="D660" s="500">
        <v>1582000000</v>
      </c>
      <c r="E660" s="108">
        <v>1454703124</v>
      </c>
      <c r="F660" s="708">
        <f t="shared" si="35"/>
        <v>91.953421238938049</v>
      </c>
      <c r="G660" s="276">
        <v>100</v>
      </c>
      <c r="H660" s="183"/>
    </row>
    <row r="661" spans="2:8" ht="17.25" customHeight="1" x14ac:dyDescent="0.25">
      <c r="B661" s="179"/>
      <c r="C661" s="316" t="s">
        <v>166</v>
      </c>
      <c r="D661" s="485">
        <f>SUM(D662:D665)</f>
        <v>6085000000</v>
      </c>
      <c r="E661" s="254">
        <f>SUM(E662:E665)</f>
        <v>6078426000</v>
      </c>
      <c r="F661" s="707">
        <f t="shared" si="35"/>
        <v>99.891963845521772</v>
      </c>
      <c r="G661" s="297">
        <f>SUM(G662:G665)/4</f>
        <v>100</v>
      </c>
      <c r="H661" s="183"/>
    </row>
    <row r="662" spans="2:8" ht="17.25" customHeight="1" x14ac:dyDescent="0.25">
      <c r="B662" s="179"/>
      <c r="C662" s="412" t="s">
        <v>1229</v>
      </c>
      <c r="D662" s="501">
        <v>1460700000</v>
      </c>
      <c r="E662" s="108">
        <v>1454126000</v>
      </c>
      <c r="F662" s="708">
        <f t="shared" si="35"/>
        <v>99.54994180872184</v>
      </c>
      <c r="G662" s="276">
        <v>100</v>
      </c>
      <c r="H662" s="183"/>
    </row>
    <row r="663" spans="2:8" ht="17.25" customHeight="1" x14ac:dyDescent="0.25">
      <c r="B663" s="179"/>
      <c r="C663" s="412" t="s">
        <v>2452</v>
      </c>
      <c r="D663" s="501">
        <v>84000000</v>
      </c>
      <c r="E663" s="108">
        <v>84000000</v>
      </c>
      <c r="F663" s="708">
        <f t="shared" si="35"/>
        <v>100</v>
      </c>
      <c r="G663" s="276">
        <v>100</v>
      </c>
      <c r="H663" s="183"/>
    </row>
    <row r="664" spans="2:8" ht="17.25" customHeight="1" x14ac:dyDescent="0.25">
      <c r="B664" s="179"/>
      <c r="C664" s="412" t="s">
        <v>2453</v>
      </c>
      <c r="D664" s="501">
        <v>84000000</v>
      </c>
      <c r="E664" s="108">
        <v>84000000</v>
      </c>
      <c r="F664" s="708">
        <f t="shared" si="35"/>
        <v>100</v>
      </c>
      <c r="G664" s="276">
        <v>100</v>
      </c>
      <c r="H664" s="183"/>
    </row>
    <row r="665" spans="2:8" ht="17.25" customHeight="1" x14ac:dyDescent="0.25">
      <c r="B665" s="179"/>
      <c r="C665" s="412" t="s">
        <v>2454</v>
      </c>
      <c r="D665" s="501">
        <v>4456300000</v>
      </c>
      <c r="E665" s="108">
        <v>4456300000</v>
      </c>
      <c r="F665" s="708">
        <f t="shared" si="35"/>
        <v>100</v>
      </c>
      <c r="G665" s="276">
        <v>100</v>
      </c>
      <c r="H665" s="183"/>
    </row>
    <row r="666" spans="2:8" ht="17.25" customHeight="1" x14ac:dyDescent="0.25">
      <c r="B666" s="179"/>
      <c r="C666" s="183"/>
      <c r="D666" s="181"/>
      <c r="E666" s="181"/>
      <c r="F666" s="53"/>
      <c r="G666" s="117"/>
      <c r="H666" s="183"/>
    </row>
    <row r="667" spans="2:8" s="154" customFormat="1" ht="17.25" customHeight="1" x14ac:dyDescent="0.25">
      <c r="B667" s="184">
        <v>14</v>
      </c>
      <c r="C667" s="277" t="s">
        <v>2546</v>
      </c>
      <c r="D667" s="185">
        <f>D668</f>
        <v>19549828018</v>
      </c>
      <c r="E667" s="185">
        <f>E668</f>
        <v>16396570000</v>
      </c>
      <c r="F667" s="502">
        <f t="shared" ref="F667:F701" si="36">E667/D667*100</f>
        <v>83.87066108665141</v>
      </c>
      <c r="G667" s="114">
        <f>(G669+G684+G691)/3</f>
        <v>85.07739913264443</v>
      </c>
      <c r="H667" s="188"/>
    </row>
    <row r="668" spans="2:8" s="154" customFormat="1" ht="17.25" customHeight="1" x14ac:dyDescent="0.25">
      <c r="B668" s="184"/>
      <c r="C668" s="709" t="s">
        <v>1019</v>
      </c>
      <c r="D668" s="185">
        <f>D669+D684+D691</f>
        <v>19549828018</v>
      </c>
      <c r="E668" s="185">
        <f>+E669+E684+E691</f>
        <v>16396570000</v>
      </c>
      <c r="F668" s="502">
        <f t="shared" si="36"/>
        <v>83.87066108665141</v>
      </c>
      <c r="G668" s="114">
        <f>(G669+G684+G691)/3</f>
        <v>85.07739913264443</v>
      </c>
      <c r="H668" s="188"/>
    </row>
    <row r="669" spans="2:8" ht="17.25" customHeight="1" x14ac:dyDescent="0.25">
      <c r="B669" s="179"/>
      <c r="C669" s="709" t="s">
        <v>1020</v>
      </c>
      <c r="D669" s="120">
        <v>11189828018</v>
      </c>
      <c r="E669" s="625">
        <f>+E670+E672+E675+E681</f>
        <v>8872840000</v>
      </c>
      <c r="F669" s="502">
        <f t="shared" si="36"/>
        <v>79.293801350003918</v>
      </c>
      <c r="G669" s="114">
        <f>+F669</f>
        <v>79.293801350003918</v>
      </c>
      <c r="H669" s="183"/>
    </row>
    <row r="670" spans="2:8" ht="17.25" customHeight="1" x14ac:dyDescent="0.25">
      <c r="B670" s="179"/>
      <c r="C670" s="709" t="s">
        <v>156</v>
      </c>
      <c r="D670" s="120">
        <v>2200000000</v>
      </c>
      <c r="E670" s="625">
        <f>+E671</f>
        <v>1950000000</v>
      </c>
      <c r="F670" s="502">
        <f t="shared" si="36"/>
        <v>88.63636363636364</v>
      </c>
      <c r="G670" s="114">
        <f t="shared" ref="G670:G701" si="37">+F670</f>
        <v>88.63636363636364</v>
      </c>
      <c r="H670" s="183"/>
    </row>
    <row r="671" spans="2:8" ht="29.25" customHeight="1" x14ac:dyDescent="0.25">
      <c r="B671" s="179"/>
      <c r="C671" s="710" t="s">
        <v>2573</v>
      </c>
      <c r="D671" s="107">
        <v>2200000000</v>
      </c>
      <c r="E671" s="626">
        <v>1950000000</v>
      </c>
      <c r="F671" s="503">
        <f t="shared" si="36"/>
        <v>88.63636363636364</v>
      </c>
      <c r="G671" s="117">
        <f t="shared" si="37"/>
        <v>88.63636363636364</v>
      </c>
      <c r="H671" s="183"/>
    </row>
    <row r="672" spans="2:8" ht="17.25" customHeight="1" x14ac:dyDescent="0.25">
      <c r="B672" s="179"/>
      <c r="C672" s="709" t="s">
        <v>1737</v>
      </c>
      <c r="D672" s="120">
        <v>3289828018</v>
      </c>
      <c r="E672" s="625">
        <f>+E673+E674</f>
        <v>2774778000</v>
      </c>
      <c r="F672" s="502">
        <f t="shared" si="36"/>
        <v>84.344165859675641</v>
      </c>
      <c r="G672" s="114">
        <f t="shared" si="37"/>
        <v>84.344165859675641</v>
      </c>
      <c r="H672" s="183"/>
    </row>
    <row r="673" spans="2:8" ht="17.25" customHeight="1" x14ac:dyDescent="0.25">
      <c r="B673" s="179"/>
      <c r="C673" s="711" t="s">
        <v>2574</v>
      </c>
      <c r="D673" s="107">
        <v>800000000</v>
      </c>
      <c r="E673" s="626">
        <v>796800000</v>
      </c>
      <c r="F673" s="503">
        <f t="shared" si="36"/>
        <v>99.6</v>
      </c>
      <c r="G673" s="117">
        <f t="shared" si="37"/>
        <v>99.6</v>
      </c>
      <c r="H673" s="183"/>
    </row>
    <row r="674" spans="2:8" ht="17.25" customHeight="1" x14ac:dyDescent="0.25">
      <c r="B674" s="179"/>
      <c r="C674" s="711" t="s">
        <v>2575</v>
      </c>
      <c r="D674" s="107">
        <v>2489828018</v>
      </c>
      <c r="E674" s="626">
        <v>1977978000</v>
      </c>
      <c r="F674" s="503">
        <f t="shared" si="36"/>
        <v>79.442354479922955</v>
      </c>
      <c r="G674" s="117">
        <f t="shared" si="37"/>
        <v>79.442354479922955</v>
      </c>
      <c r="H674" s="183"/>
    </row>
    <row r="675" spans="2:8" ht="17.25" customHeight="1" x14ac:dyDescent="0.25">
      <c r="B675" s="179"/>
      <c r="C675" s="709" t="s">
        <v>182</v>
      </c>
      <c r="D675" s="120">
        <v>2600000000</v>
      </c>
      <c r="E675" s="625">
        <f>+E676+E677</f>
        <v>2426100000</v>
      </c>
      <c r="F675" s="502">
        <f t="shared" si="36"/>
        <v>93.311538461538461</v>
      </c>
      <c r="G675" s="114">
        <f t="shared" si="37"/>
        <v>93.311538461538461</v>
      </c>
      <c r="H675" s="183"/>
    </row>
    <row r="676" spans="2:8" ht="17.25" customHeight="1" x14ac:dyDescent="0.25">
      <c r="B676" s="179"/>
      <c r="C676" s="711" t="s">
        <v>2576</v>
      </c>
      <c r="D676" s="107">
        <v>1100000000</v>
      </c>
      <c r="E676" s="626">
        <v>926100000</v>
      </c>
      <c r="F676" s="503">
        <f t="shared" si="36"/>
        <v>84.190909090909088</v>
      </c>
      <c r="G676" s="117">
        <f t="shared" si="37"/>
        <v>84.190909090909088</v>
      </c>
      <c r="H676" s="183"/>
    </row>
    <row r="677" spans="2:8" ht="17.25" customHeight="1" x14ac:dyDescent="0.25">
      <c r="B677" s="179"/>
      <c r="C677" s="711" t="s">
        <v>2577</v>
      </c>
      <c r="D677" s="107">
        <v>1500000000</v>
      </c>
      <c r="E677" s="626">
        <v>1500000000</v>
      </c>
      <c r="F677" s="503">
        <f t="shared" si="36"/>
        <v>100</v>
      </c>
      <c r="G677" s="117">
        <f t="shared" si="37"/>
        <v>100</v>
      </c>
      <c r="H677" s="183"/>
    </row>
    <row r="678" spans="2:8" ht="17.25" customHeight="1" x14ac:dyDescent="0.25">
      <c r="B678" s="179"/>
      <c r="C678" s="709" t="s">
        <v>720</v>
      </c>
      <c r="D678" s="120">
        <v>1200000000</v>
      </c>
      <c r="E678" s="626">
        <f>+E679+E680</f>
        <v>1194960000</v>
      </c>
      <c r="F678" s="503">
        <f t="shared" si="36"/>
        <v>99.58</v>
      </c>
      <c r="G678" s="117">
        <f t="shared" si="37"/>
        <v>99.58</v>
      </c>
      <c r="H678" s="183"/>
    </row>
    <row r="679" spans="2:8" ht="17.25" customHeight="1" x14ac:dyDescent="0.25">
      <c r="B679" s="179"/>
      <c r="C679" s="711" t="s">
        <v>2578</v>
      </c>
      <c r="D679" s="107">
        <v>200000000</v>
      </c>
      <c r="E679" s="626">
        <v>200000000</v>
      </c>
      <c r="F679" s="503">
        <f t="shared" si="36"/>
        <v>100</v>
      </c>
      <c r="G679" s="117">
        <f t="shared" si="37"/>
        <v>100</v>
      </c>
      <c r="H679" s="183"/>
    </row>
    <row r="680" spans="2:8" ht="17.25" customHeight="1" x14ac:dyDescent="0.25">
      <c r="B680" s="179"/>
      <c r="C680" s="711" t="s">
        <v>2579</v>
      </c>
      <c r="D680" s="107">
        <v>1000000000</v>
      </c>
      <c r="E680" s="626">
        <v>994960000</v>
      </c>
      <c r="F680" s="503">
        <f t="shared" si="36"/>
        <v>99.495999999999995</v>
      </c>
      <c r="G680" s="117">
        <f t="shared" si="37"/>
        <v>99.495999999999995</v>
      </c>
      <c r="H680" s="183"/>
    </row>
    <row r="681" spans="2:8" ht="17.25" customHeight="1" x14ac:dyDescent="0.25">
      <c r="B681" s="179"/>
      <c r="C681" s="709" t="s">
        <v>177</v>
      </c>
      <c r="D681" s="120">
        <v>1900000000</v>
      </c>
      <c r="E681" s="625">
        <f>+E682</f>
        <v>1721962000</v>
      </c>
      <c r="F681" s="502">
        <f t="shared" si="36"/>
        <v>90.629578947368415</v>
      </c>
      <c r="G681" s="114">
        <f t="shared" si="37"/>
        <v>90.629578947368415</v>
      </c>
      <c r="H681" s="183"/>
    </row>
    <row r="682" spans="2:8" ht="17.25" customHeight="1" x14ac:dyDescent="0.25">
      <c r="B682" s="179"/>
      <c r="C682" s="711" t="s">
        <v>836</v>
      </c>
      <c r="D682" s="107">
        <v>1900000000</v>
      </c>
      <c r="E682" s="626">
        <v>1721962000</v>
      </c>
      <c r="F682" s="503">
        <f t="shared" si="36"/>
        <v>90.629578947368415</v>
      </c>
      <c r="G682" s="117">
        <f t="shared" si="37"/>
        <v>90.629578947368415</v>
      </c>
      <c r="H682" s="183"/>
    </row>
    <row r="683" spans="2:8" ht="17.25" customHeight="1" x14ac:dyDescent="0.25">
      <c r="B683" s="179"/>
      <c r="C683" s="711"/>
      <c r="D683" s="107"/>
      <c r="E683" s="626"/>
      <c r="F683" s="503"/>
      <c r="G683" s="117"/>
      <c r="H683" s="183"/>
    </row>
    <row r="684" spans="2:8" ht="17.25" customHeight="1" x14ac:dyDescent="0.25">
      <c r="B684" s="179"/>
      <c r="C684" s="709" t="s">
        <v>1138</v>
      </c>
      <c r="D684" s="120">
        <v>2680000000</v>
      </c>
      <c r="E684" s="625">
        <f>+E685</f>
        <v>2206150000</v>
      </c>
      <c r="F684" s="502">
        <f t="shared" si="36"/>
        <v>82.319029850746276</v>
      </c>
      <c r="G684" s="114">
        <f t="shared" si="37"/>
        <v>82.319029850746276</v>
      </c>
      <c r="H684" s="183"/>
    </row>
    <row r="685" spans="2:8" ht="17.25" customHeight="1" x14ac:dyDescent="0.25">
      <c r="B685" s="179"/>
      <c r="C685" s="709" t="s">
        <v>2580</v>
      </c>
      <c r="D685" s="120">
        <v>2680000000</v>
      </c>
      <c r="E685" s="625">
        <f>+E686</f>
        <v>2206150000</v>
      </c>
      <c r="F685" s="502">
        <f t="shared" si="36"/>
        <v>82.319029850746276</v>
      </c>
      <c r="G685" s="114">
        <f t="shared" si="37"/>
        <v>82.319029850746276</v>
      </c>
      <c r="H685" s="183"/>
    </row>
    <row r="686" spans="2:8" ht="17.25" customHeight="1" x14ac:dyDescent="0.25">
      <c r="B686" s="179"/>
      <c r="C686" s="711" t="s">
        <v>2581</v>
      </c>
      <c r="D686" s="107">
        <v>780000000</v>
      </c>
      <c r="E686" s="625">
        <f>+E687+E688+E689+E690</f>
        <v>2206150000</v>
      </c>
      <c r="F686" s="502">
        <f t="shared" si="36"/>
        <v>282.83974358974359</v>
      </c>
      <c r="G686" s="114">
        <f t="shared" si="37"/>
        <v>282.83974358974359</v>
      </c>
      <c r="H686" s="183"/>
    </row>
    <row r="687" spans="2:8" ht="17.25" customHeight="1" x14ac:dyDescent="0.25">
      <c r="B687" s="179"/>
      <c r="C687" s="711" t="s">
        <v>2582</v>
      </c>
      <c r="D687" s="107">
        <v>1100000000</v>
      </c>
      <c r="E687" s="626">
        <v>326150000</v>
      </c>
      <c r="F687" s="503">
        <f t="shared" si="36"/>
        <v>29.65</v>
      </c>
      <c r="G687" s="117">
        <f t="shared" si="37"/>
        <v>29.65</v>
      </c>
      <c r="H687" s="183"/>
    </row>
    <row r="688" spans="2:8" ht="17.25" customHeight="1" x14ac:dyDescent="0.25">
      <c r="B688" s="179"/>
      <c r="C688" s="711" t="s">
        <v>2583</v>
      </c>
      <c r="D688" s="107">
        <v>300000000</v>
      </c>
      <c r="E688" s="626">
        <v>1880000000</v>
      </c>
      <c r="F688" s="503">
        <f t="shared" si="36"/>
        <v>626.66666666666663</v>
      </c>
      <c r="G688" s="117">
        <f t="shared" si="37"/>
        <v>626.66666666666663</v>
      </c>
      <c r="H688" s="183"/>
    </row>
    <row r="689" spans="2:8" ht="17.25" customHeight="1" x14ac:dyDescent="0.25">
      <c r="B689" s="179"/>
      <c r="C689" s="711" t="s">
        <v>2584</v>
      </c>
      <c r="D689" s="107">
        <v>500000000</v>
      </c>
      <c r="E689" s="116"/>
      <c r="F689" s="503">
        <f t="shared" si="36"/>
        <v>0</v>
      </c>
      <c r="G689" s="117">
        <f t="shared" si="37"/>
        <v>0</v>
      </c>
      <c r="H689" s="183"/>
    </row>
    <row r="690" spans="2:8" ht="17.25" customHeight="1" x14ac:dyDescent="0.25">
      <c r="B690" s="179"/>
      <c r="C690" s="711"/>
      <c r="D690" s="107"/>
      <c r="E690" s="116"/>
      <c r="F690" s="503"/>
      <c r="G690" s="117"/>
      <c r="H690" s="183"/>
    </row>
    <row r="691" spans="2:8" ht="17.25" customHeight="1" x14ac:dyDescent="0.25">
      <c r="B691" s="179"/>
      <c r="C691" s="709" t="s">
        <v>2098</v>
      </c>
      <c r="D691" s="120">
        <v>5680000000</v>
      </c>
      <c r="E691" s="625">
        <f>+E692+E695+E700</f>
        <v>5317580000</v>
      </c>
      <c r="F691" s="502">
        <f t="shared" si="36"/>
        <v>93.619366197183098</v>
      </c>
      <c r="G691" s="114">
        <f t="shared" si="37"/>
        <v>93.619366197183098</v>
      </c>
      <c r="H691" s="183"/>
    </row>
    <row r="692" spans="2:8" ht="17.25" customHeight="1" x14ac:dyDescent="0.25">
      <c r="B692" s="179"/>
      <c r="C692" s="709" t="s">
        <v>1737</v>
      </c>
      <c r="D692" s="120">
        <v>3430000000</v>
      </c>
      <c r="E692" s="625">
        <f>+E693+E694</f>
        <v>3100100000</v>
      </c>
      <c r="F692" s="502">
        <f t="shared" si="36"/>
        <v>90.381924198250729</v>
      </c>
      <c r="G692" s="114">
        <f t="shared" si="37"/>
        <v>90.381924198250729</v>
      </c>
      <c r="H692" s="183"/>
    </row>
    <row r="693" spans="2:8" ht="17.25" customHeight="1" x14ac:dyDescent="0.25">
      <c r="B693" s="179"/>
      <c r="C693" s="711" t="s">
        <v>2575</v>
      </c>
      <c r="D693" s="107">
        <v>1250000000</v>
      </c>
      <c r="E693" s="626">
        <v>932000000</v>
      </c>
      <c r="F693" s="503">
        <f t="shared" si="36"/>
        <v>74.56</v>
      </c>
      <c r="G693" s="117">
        <f t="shared" si="37"/>
        <v>74.56</v>
      </c>
      <c r="H693" s="183"/>
    </row>
    <row r="694" spans="2:8" ht="17.25" customHeight="1" x14ac:dyDescent="0.25">
      <c r="B694" s="179"/>
      <c r="C694" s="711" t="s">
        <v>2585</v>
      </c>
      <c r="D694" s="107">
        <v>2180000000</v>
      </c>
      <c r="E694" s="626">
        <v>2168100000</v>
      </c>
      <c r="F694" s="503">
        <f t="shared" si="36"/>
        <v>99.454128440366972</v>
      </c>
      <c r="G694" s="117">
        <f t="shared" si="37"/>
        <v>99.454128440366972</v>
      </c>
      <c r="H694" s="183"/>
    </row>
    <row r="695" spans="2:8" ht="17.25" customHeight="1" x14ac:dyDescent="0.25">
      <c r="B695" s="179"/>
      <c r="C695" s="709" t="s">
        <v>182</v>
      </c>
      <c r="D695" s="120">
        <v>1950000000</v>
      </c>
      <c r="E695" s="625">
        <f>+E696+E697+E698+E699</f>
        <v>1923453000</v>
      </c>
      <c r="F695" s="502">
        <f t="shared" si="36"/>
        <v>98.638615384615377</v>
      </c>
      <c r="G695" s="114">
        <f t="shared" si="37"/>
        <v>98.638615384615377</v>
      </c>
      <c r="H695" s="183"/>
    </row>
    <row r="696" spans="2:8" ht="17.25" customHeight="1" x14ac:dyDescent="0.25">
      <c r="B696" s="179"/>
      <c r="C696" s="711" t="s">
        <v>2586</v>
      </c>
      <c r="D696" s="107">
        <v>800000000</v>
      </c>
      <c r="E696" s="626">
        <v>779453000</v>
      </c>
      <c r="F696" s="503">
        <f t="shared" si="36"/>
        <v>97.431624999999997</v>
      </c>
      <c r="G696" s="117">
        <f t="shared" si="37"/>
        <v>97.431624999999997</v>
      </c>
      <c r="H696" s="183"/>
    </row>
    <row r="697" spans="2:8" ht="17.25" customHeight="1" x14ac:dyDescent="0.25">
      <c r="B697" s="179"/>
      <c r="C697" s="711" t="s">
        <v>2587</v>
      </c>
      <c r="D697" s="107">
        <v>550000000</v>
      </c>
      <c r="E697" s="626">
        <v>550000000</v>
      </c>
      <c r="F697" s="503">
        <f t="shared" si="36"/>
        <v>100</v>
      </c>
      <c r="G697" s="117">
        <f t="shared" si="37"/>
        <v>100</v>
      </c>
      <c r="H697" s="183"/>
    </row>
    <row r="698" spans="2:8" ht="17.25" customHeight="1" x14ac:dyDescent="0.25">
      <c r="B698" s="179"/>
      <c r="C698" s="711" t="s">
        <v>2588</v>
      </c>
      <c r="D698" s="107">
        <v>300000000</v>
      </c>
      <c r="E698" s="626">
        <v>294000000</v>
      </c>
      <c r="F698" s="503">
        <f t="shared" si="36"/>
        <v>98</v>
      </c>
      <c r="G698" s="117">
        <f t="shared" si="37"/>
        <v>98</v>
      </c>
      <c r="H698" s="183"/>
    </row>
    <row r="699" spans="2:8" ht="17.25" customHeight="1" x14ac:dyDescent="0.25">
      <c r="B699" s="179"/>
      <c r="C699" s="711" t="s">
        <v>2589</v>
      </c>
      <c r="D699" s="107">
        <v>300000000</v>
      </c>
      <c r="E699" s="626">
        <v>300000000</v>
      </c>
      <c r="F699" s="503">
        <f t="shared" si="36"/>
        <v>100</v>
      </c>
      <c r="G699" s="117">
        <f t="shared" si="37"/>
        <v>100</v>
      </c>
      <c r="H699" s="183"/>
    </row>
    <row r="700" spans="2:8" ht="17.25" customHeight="1" x14ac:dyDescent="0.25">
      <c r="B700" s="179"/>
      <c r="C700" s="709" t="s">
        <v>177</v>
      </c>
      <c r="D700" s="120">
        <v>300000000</v>
      </c>
      <c r="E700" s="625">
        <f>+E701</f>
        <v>294027000</v>
      </c>
      <c r="F700" s="502">
        <f t="shared" si="36"/>
        <v>98.009</v>
      </c>
      <c r="G700" s="114">
        <f t="shared" si="37"/>
        <v>98.009</v>
      </c>
      <c r="H700" s="183"/>
    </row>
    <row r="701" spans="2:8" ht="17.25" customHeight="1" x14ac:dyDescent="0.25">
      <c r="B701" s="179"/>
      <c r="C701" s="711" t="s">
        <v>2590</v>
      </c>
      <c r="D701" s="107">
        <v>300000000</v>
      </c>
      <c r="E701" s="626">
        <v>294027000</v>
      </c>
      <c r="F701" s="503">
        <f t="shared" si="36"/>
        <v>98.009</v>
      </c>
      <c r="G701" s="117">
        <f t="shared" si="37"/>
        <v>98.009</v>
      </c>
      <c r="H701" s="183"/>
    </row>
    <row r="702" spans="2:8" ht="17.25" customHeight="1" x14ac:dyDescent="0.25">
      <c r="B702" s="179"/>
      <c r="C702" s="196"/>
      <c r="D702" s="181"/>
      <c r="E702" s="181"/>
      <c r="F702" s="53"/>
      <c r="G702" s="117"/>
      <c r="H702" s="183"/>
    </row>
    <row r="703" spans="2:8" s="154" customFormat="1" ht="17.25" customHeight="1" x14ac:dyDescent="0.25">
      <c r="B703" s="184">
        <v>15</v>
      </c>
      <c r="C703" s="675" t="s">
        <v>2634</v>
      </c>
      <c r="D703" s="185">
        <f>+D704</f>
        <v>18821607350</v>
      </c>
      <c r="E703" s="185">
        <f>E704</f>
        <v>16935783601</v>
      </c>
      <c r="F703" s="186">
        <f>E703/D703*100</f>
        <v>89.980538250894924</v>
      </c>
      <c r="G703" s="114">
        <f>G704</f>
        <v>97.5</v>
      </c>
      <c r="H703" s="188"/>
    </row>
    <row r="704" spans="2:8" ht="17.25" customHeight="1" x14ac:dyDescent="0.25">
      <c r="B704" s="179"/>
      <c r="C704" s="712" t="s">
        <v>1020</v>
      </c>
      <c r="D704" s="120">
        <f>+D705+D707+D710+D712</f>
        <v>18821607350</v>
      </c>
      <c r="E704" s="288">
        <f>E705+E707+E710+E712</f>
        <v>16935783601</v>
      </c>
      <c r="F704" s="713">
        <f t="shared" ref="F704:F713" si="38">(E704/D704)*100</f>
        <v>89.980538250894924</v>
      </c>
      <c r="G704" s="368">
        <f>(G705+G707+G710+G712)/4</f>
        <v>97.5</v>
      </c>
      <c r="H704" s="183"/>
    </row>
    <row r="705" spans="2:8" ht="17.25" customHeight="1" x14ac:dyDescent="0.25">
      <c r="B705" s="179"/>
      <c r="C705" s="712" t="s">
        <v>156</v>
      </c>
      <c r="D705" s="120">
        <f>+D706</f>
        <v>500000000</v>
      </c>
      <c r="E705" s="288">
        <f>SUM(E706:E706)</f>
        <v>468901201</v>
      </c>
      <c r="F705" s="713">
        <f t="shared" si="38"/>
        <v>93.780240199999994</v>
      </c>
      <c r="G705" s="368">
        <f>(G706)/1</f>
        <v>100</v>
      </c>
      <c r="H705" s="183"/>
    </row>
    <row r="706" spans="2:8" ht="17.25" customHeight="1" x14ac:dyDescent="0.25">
      <c r="B706" s="179"/>
      <c r="C706" s="714" t="s">
        <v>4030</v>
      </c>
      <c r="D706" s="107">
        <v>500000000</v>
      </c>
      <c r="E706" s="287">
        <v>468901201</v>
      </c>
      <c r="F706" s="715">
        <f t="shared" si="38"/>
        <v>93.780240199999994</v>
      </c>
      <c r="G706" s="369">
        <v>100</v>
      </c>
      <c r="H706" s="183"/>
    </row>
    <row r="707" spans="2:8" ht="17.25" customHeight="1" x14ac:dyDescent="0.25">
      <c r="B707" s="179"/>
      <c r="C707" s="712" t="s">
        <v>166</v>
      </c>
      <c r="D707" s="120">
        <f>+D708+D709</f>
        <v>4123965850</v>
      </c>
      <c r="E707" s="288">
        <f>SUM(E708:E709)</f>
        <v>4120535400</v>
      </c>
      <c r="F707" s="713">
        <f t="shared" si="38"/>
        <v>99.916816721457579</v>
      </c>
      <c r="G707" s="368">
        <f>(G708+G709)/2</f>
        <v>90</v>
      </c>
      <c r="H707" s="183"/>
    </row>
    <row r="708" spans="2:8" ht="17.25" customHeight="1" x14ac:dyDescent="0.25">
      <c r="B708" s="179"/>
      <c r="C708" s="714" t="s">
        <v>4031</v>
      </c>
      <c r="D708" s="107">
        <v>650000000</v>
      </c>
      <c r="E708" s="287">
        <v>650000000</v>
      </c>
      <c r="F708" s="715">
        <f t="shared" si="38"/>
        <v>100</v>
      </c>
      <c r="G708" s="369">
        <v>100</v>
      </c>
      <c r="H708" s="183"/>
    </row>
    <row r="709" spans="2:8" ht="17.25" customHeight="1" x14ac:dyDescent="0.25">
      <c r="B709" s="179"/>
      <c r="C709" s="714" t="s">
        <v>4032</v>
      </c>
      <c r="D709" s="107">
        <v>3473965850</v>
      </c>
      <c r="E709" s="287">
        <v>3470535400</v>
      </c>
      <c r="F709" s="713">
        <f t="shared" si="38"/>
        <v>99.901252627454582</v>
      </c>
      <c r="G709" s="369">
        <v>80</v>
      </c>
      <c r="H709" s="183"/>
    </row>
    <row r="710" spans="2:8" ht="17.25" customHeight="1" x14ac:dyDescent="0.25">
      <c r="B710" s="179"/>
      <c r="C710" s="712" t="s">
        <v>843</v>
      </c>
      <c r="D710" s="120">
        <f>+D711</f>
        <v>10093641500</v>
      </c>
      <c r="E710" s="288">
        <f>E711</f>
        <v>8620897000</v>
      </c>
      <c r="F710" s="715">
        <f t="shared" si="38"/>
        <v>85.409185574898814</v>
      </c>
      <c r="G710" s="368">
        <f>G711</f>
        <v>100</v>
      </c>
      <c r="H710" s="183"/>
    </row>
    <row r="711" spans="2:8" ht="17.25" customHeight="1" x14ac:dyDescent="0.25">
      <c r="B711" s="179"/>
      <c r="C711" s="714" t="s">
        <v>1733</v>
      </c>
      <c r="D711" s="107">
        <v>10093641500</v>
      </c>
      <c r="E711" s="287">
        <v>8620897000</v>
      </c>
      <c r="F711" s="715">
        <f t="shared" si="38"/>
        <v>85.409185574898814</v>
      </c>
      <c r="G711" s="369">
        <v>100</v>
      </c>
      <c r="H711" s="183"/>
    </row>
    <row r="712" spans="2:8" ht="17.25" customHeight="1" x14ac:dyDescent="0.25">
      <c r="B712" s="179"/>
      <c r="C712" s="712" t="s">
        <v>202</v>
      </c>
      <c r="D712" s="120">
        <f>+D713</f>
        <v>4104000000</v>
      </c>
      <c r="E712" s="288">
        <f>E713</f>
        <v>3725450000</v>
      </c>
      <c r="F712" s="715">
        <f t="shared" si="38"/>
        <v>90.77607212475634</v>
      </c>
      <c r="G712" s="368">
        <f>G713</f>
        <v>100</v>
      </c>
      <c r="H712" s="183"/>
    </row>
    <row r="713" spans="2:8" ht="17.25" customHeight="1" x14ac:dyDescent="0.25">
      <c r="B713" s="179"/>
      <c r="C713" s="714" t="s">
        <v>4033</v>
      </c>
      <c r="D713" s="107">
        <v>4104000000</v>
      </c>
      <c r="E713" s="287">
        <v>3725450000</v>
      </c>
      <c r="F713" s="713">
        <f t="shared" si="38"/>
        <v>90.77607212475634</v>
      </c>
      <c r="G713" s="369">
        <v>100</v>
      </c>
      <c r="H713" s="183"/>
    </row>
    <row r="714" spans="2:8" ht="17.25" customHeight="1" x14ac:dyDescent="0.25">
      <c r="B714" s="179"/>
      <c r="C714" s="196"/>
      <c r="D714" s="181"/>
      <c r="E714" s="181"/>
      <c r="F714" s="53"/>
      <c r="G714" s="117"/>
      <c r="H714" s="183"/>
    </row>
    <row r="715" spans="2:8" s="154" customFormat="1" ht="17.25" customHeight="1" x14ac:dyDescent="0.25">
      <c r="B715" s="184">
        <v>16</v>
      </c>
      <c r="C715" s="630" t="s">
        <v>2702</v>
      </c>
      <c r="D715" s="185">
        <f>+D716+D738</f>
        <v>15049239600</v>
      </c>
      <c r="E715" s="631">
        <v>15025239600</v>
      </c>
      <c r="F715" s="186">
        <f>E715/D715*100</f>
        <v>99.84052350392507</v>
      </c>
      <c r="G715" s="114">
        <f>G716</f>
        <v>93.78276268125893</v>
      </c>
      <c r="H715" s="188"/>
    </row>
    <row r="716" spans="2:8" s="80" customFormat="1" ht="17.25" customHeight="1" x14ac:dyDescent="0.25">
      <c r="B716" s="109"/>
      <c r="C716" s="121" t="s">
        <v>1020</v>
      </c>
      <c r="D716" s="761">
        <f>D717+D719+D722+D728+D731+D733+D735</f>
        <v>12926674000</v>
      </c>
      <c r="E716" s="113">
        <f>E717+E719+E722+E728+E731</f>
        <v>12122992000</v>
      </c>
      <c r="F716" s="699">
        <f t="shared" ref="F716:F747" si="39">E716/D716*100</f>
        <v>93.78276268125893</v>
      </c>
      <c r="G716" s="117">
        <f t="shared" ref="G716:G747" si="40">+F716</f>
        <v>93.78276268125893</v>
      </c>
      <c r="H716" s="111"/>
    </row>
    <row r="717" spans="2:8" s="80" customFormat="1" ht="17.25" customHeight="1" x14ac:dyDescent="0.25">
      <c r="B717" s="109"/>
      <c r="C717" s="249" t="s">
        <v>156</v>
      </c>
      <c r="D717" s="523">
        <f>D718</f>
        <v>1900000000</v>
      </c>
      <c r="E717" s="254">
        <f>E718</f>
        <v>1900000000</v>
      </c>
      <c r="F717" s="699">
        <f t="shared" si="39"/>
        <v>100</v>
      </c>
      <c r="G717" s="117">
        <f t="shared" si="40"/>
        <v>100</v>
      </c>
      <c r="H717" s="111"/>
    </row>
    <row r="718" spans="2:8" s="80" customFormat="1" ht="28.5" customHeight="1" x14ac:dyDescent="0.25">
      <c r="B718" s="109"/>
      <c r="C718" s="118" t="s">
        <v>2729</v>
      </c>
      <c r="D718" s="515">
        <v>1900000000</v>
      </c>
      <c r="E718" s="108">
        <f>D718</f>
        <v>1900000000</v>
      </c>
      <c r="F718" s="699">
        <f t="shared" si="39"/>
        <v>100</v>
      </c>
      <c r="G718" s="117">
        <f t="shared" si="40"/>
        <v>100</v>
      </c>
      <c r="H718" s="111"/>
    </row>
    <row r="719" spans="2:8" s="80" customFormat="1" ht="17.25" customHeight="1" x14ac:dyDescent="0.25">
      <c r="B719" s="109"/>
      <c r="C719" s="249" t="s">
        <v>166</v>
      </c>
      <c r="D719" s="523">
        <f>SUM(D720:D721)</f>
        <v>5713726400</v>
      </c>
      <c r="E719" s="254">
        <f>SUM(E720:E721)</f>
        <v>5713726400</v>
      </c>
      <c r="F719" s="699">
        <f t="shared" si="39"/>
        <v>100</v>
      </c>
      <c r="G719" s="117">
        <f t="shared" si="40"/>
        <v>100</v>
      </c>
      <c r="H719" s="111"/>
    </row>
    <row r="720" spans="2:8" s="80" customFormat="1" ht="17.25" customHeight="1" x14ac:dyDescent="0.25">
      <c r="B720" s="109"/>
      <c r="C720" s="118" t="s">
        <v>2730</v>
      </c>
      <c r="D720" s="515">
        <v>199200000</v>
      </c>
      <c r="E720" s="108">
        <f>D720-L719</f>
        <v>199200000</v>
      </c>
      <c r="F720" s="699">
        <f t="shared" si="39"/>
        <v>100</v>
      </c>
      <c r="G720" s="117">
        <f t="shared" si="40"/>
        <v>100</v>
      </c>
      <c r="H720" s="111"/>
    </row>
    <row r="721" spans="2:8" s="80" customFormat="1" ht="17.25" customHeight="1" x14ac:dyDescent="0.25">
      <c r="B721" s="109"/>
      <c r="C721" s="118" t="s">
        <v>2731</v>
      </c>
      <c r="D721" s="515">
        <v>5514526400</v>
      </c>
      <c r="E721" s="108">
        <f>D721</f>
        <v>5514526400</v>
      </c>
      <c r="F721" s="699">
        <f t="shared" si="39"/>
        <v>100</v>
      </c>
      <c r="G721" s="117">
        <f t="shared" si="40"/>
        <v>100</v>
      </c>
      <c r="H721" s="111"/>
    </row>
    <row r="722" spans="2:8" s="80" customFormat="1" ht="30" customHeight="1" x14ac:dyDescent="0.25">
      <c r="B722" s="109"/>
      <c r="C722" s="249" t="s">
        <v>705</v>
      </c>
      <c r="D722" s="762">
        <f>SUM(D723:D727)</f>
        <v>2638777000</v>
      </c>
      <c r="E722" s="254">
        <f>SUM(E723:E727)</f>
        <v>2638777000</v>
      </c>
      <c r="F722" s="699">
        <f t="shared" si="39"/>
        <v>100</v>
      </c>
      <c r="G722" s="117">
        <f t="shared" si="40"/>
        <v>100</v>
      </c>
      <c r="H722" s="111"/>
    </row>
    <row r="723" spans="2:8" s="80" customFormat="1" ht="17.25" customHeight="1" x14ac:dyDescent="0.25">
      <c r="B723" s="109"/>
      <c r="C723" s="118" t="s">
        <v>2732</v>
      </c>
      <c r="D723" s="197">
        <v>76941000</v>
      </c>
      <c r="E723" s="108">
        <v>76941000</v>
      </c>
      <c r="F723" s="699">
        <f t="shared" si="39"/>
        <v>100</v>
      </c>
      <c r="G723" s="117">
        <f t="shared" si="40"/>
        <v>100</v>
      </c>
      <c r="H723" s="111"/>
    </row>
    <row r="724" spans="2:8" s="80" customFormat="1" ht="17.25" customHeight="1" x14ac:dyDescent="0.25">
      <c r="B724" s="109"/>
      <c r="C724" s="118" t="s">
        <v>2733</v>
      </c>
      <c r="D724" s="515">
        <v>463345000</v>
      </c>
      <c r="E724" s="108">
        <f>D724</f>
        <v>463345000</v>
      </c>
      <c r="F724" s="699">
        <f t="shared" si="39"/>
        <v>100</v>
      </c>
      <c r="G724" s="117">
        <f t="shared" si="40"/>
        <v>100</v>
      </c>
      <c r="H724" s="111"/>
    </row>
    <row r="725" spans="2:8" s="80" customFormat="1" ht="17.25" customHeight="1" x14ac:dyDescent="0.25">
      <c r="B725" s="109"/>
      <c r="C725" s="118" t="s">
        <v>2734</v>
      </c>
      <c r="D725" s="751">
        <v>144051000</v>
      </c>
      <c r="E725" s="108">
        <v>144051000</v>
      </c>
      <c r="F725" s="699">
        <f t="shared" si="39"/>
        <v>100</v>
      </c>
      <c r="G725" s="117">
        <f t="shared" si="40"/>
        <v>100</v>
      </c>
      <c r="H725" s="111"/>
    </row>
    <row r="726" spans="2:8" s="80" customFormat="1" ht="17.25" customHeight="1" x14ac:dyDescent="0.25">
      <c r="B726" s="109"/>
      <c r="C726" s="118" t="s">
        <v>2735</v>
      </c>
      <c r="D726" s="751">
        <v>1454440000</v>
      </c>
      <c r="E726" s="108">
        <f>D726</f>
        <v>1454440000</v>
      </c>
      <c r="F726" s="699">
        <f t="shared" si="39"/>
        <v>100</v>
      </c>
      <c r="G726" s="117">
        <f t="shared" si="40"/>
        <v>100</v>
      </c>
      <c r="H726" s="111"/>
    </row>
    <row r="727" spans="2:8" s="80" customFormat="1" ht="17.25" customHeight="1" x14ac:dyDescent="0.25">
      <c r="B727" s="109"/>
      <c r="C727" s="118" t="s">
        <v>2736</v>
      </c>
      <c r="D727" s="751">
        <v>500000000</v>
      </c>
      <c r="E727" s="108">
        <f>D727</f>
        <v>500000000</v>
      </c>
      <c r="F727" s="699">
        <f t="shared" si="39"/>
        <v>100</v>
      </c>
      <c r="G727" s="117">
        <f t="shared" si="40"/>
        <v>100</v>
      </c>
      <c r="H727" s="111"/>
    </row>
    <row r="728" spans="2:8" s="80" customFormat="1" ht="17.25" customHeight="1" x14ac:dyDescent="0.25">
      <c r="B728" s="109"/>
      <c r="C728" s="249" t="s">
        <v>177</v>
      </c>
      <c r="D728" s="762">
        <f>SUM(D729:D730)</f>
        <v>472557600</v>
      </c>
      <c r="E728" s="254">
        <f>SUM(E729:E730)</f>
        <v>472557600</v>
      </c>
      <c r="F728" s="699">
        <f t="shared" si="39"/>
        <v>100</v>
      </c>
      <c r="G728" s="117">
        <f t="shared" si="40"/>
        <v>100</v>
      </c>
      <c r="H728" s="111"/>
    </row>
    <row r="729" spans="2:8" s="80" customFormat="1" ht="17.25" customHeight="1" x14ac:dyDescent="0.25">
      <c r="B729" s="109"/>
      <c r="C729" s="118" t="s">
        <v>2737</v>
      </c>
      <c r="D729" s="763">
        <v>54000000</v>
      </c>
      <c r="E729" s="108">
        <f>D729</f>
        <v>54000000</v>
      </c>
      <c r="F729" s="699">
        <f t="shared" si="39"/>
        <v>100</v>
      </c>
      <c r="G729" s="117">
        <f t="shared" si="40"/>
        <v>100</v>
      </c>
      <c r="H729" s="111"/>
    </row>
    <row r="730" spans="2:8" s="80" customFormat="1" ht="17.25" customHeight="1" x14ac:dyDescent="0.25">
      <c r="B730" s="109"/>
      <c r="C730" s="118" t="s">
        <v>2738</v>
      </c>
      <c r="D730" s="515">
        <v>418557600</v>
      </c>
      <c r="E730" s="108">
        <v>418557600</v>
      </c>
      <c r="F730" s="699">
        <f t="shared" si="39"/>
        <v>100</v>
      </c>
      <c r="G730" s="117">
        <f t="shared" si="40"/>
        <v>100</v>
      </c>
      <c r="H730" s="111"/>
    </row>
    <row r="731" spans="2:8" s="80" customFormat="1" ht="16.5" customHeight="1" x14ac:dyDescent="0.25">
      <c r="B731" s="109"/>
      <c r="C731" s="249" t="s">
        <v>182</v>
      </c>
      <c r="D731" s="523">
        <f>SUM(D732)</f>
        <v>1397931000</v>
      </c>
      <c r="E731" s="254">
        <f>SUM(E732)</f>
        <v>1397931000</v>
      </c>
      <c r="F731" s="699">
        <f t="shared" si="39"/>
        <v>100</v>
      </c>
      <c r="G731" s="117">
        <f t="shared" si="40"/>
        <v>100</v>
      </c>
      <c r="H731" s="111"/>
    </row>
    <row r="732" spans="2:8" s="80" customFormat="1" ht="33.75" customHeight="1" x14ac:dyDescent="0.25">
      <c r="B732" s="109"/>
      <c r="C732" s="118" t="s">
        <v>2739</v>
      </c>
      <c r="D732" s="515">
        <f>[1]Sheet1!$C$91</f>
        <v>1397931000</v>
      </c>
      <c r="E732" s="108">
        <f>D732</f>
        <v>1397931000</v>
      </c>
      <c r="F732" s="699">
        <f t="shared" si="39"/>
        <v>100</v>
      </c>
      <c r="G732" s="117">
        <f t="shared" si="40"/>
        <v>100</v>
      </c>
      <c r="H732" s="111"/>
    </row>
    <row r="733" spans="2:8" s="80" customFormat="1" ht="17.25" customHeight="1" x14ac:dyDescent="0.25">
      <c r="B733" s="109"/>
      <c r="C733" s="249" t="s">
        <v>2740</v>
      </c>
      <c r="D733" s="523">
        <f>SUM(D734)</f>
        <v>450000000</v>
      </c>
      <c r="E733" s="113">
        <f>SUM(E734)</f>
        <v>450000000</v>
      </c>
      <c r="F733" s="699">
        <f t="shared" si="39"/>
        <v>100</v>
      </c>
      <c r="G733" s="117">
        <f t="shared" si="40"/>
        <v>100</v>
      </c>
      <c r="H733" s="111"/>
    </row>
    <row r="734" spans="2:8" s="80" customFormat="1" ht="18.75" customHeight="1" x14ac:dyDescent="0.25">
      <c r="B734" s="109"/>
      <c r="C734" s="118" t="s">
        <v>2741</v>
      </c>
      <c r="D734" s="751">
        <v>450000000</v>
      </c>
      <c r="E734" s="253">
        <f>D734</f>
        <v>450000000</v>
      </c>
      <c r="F734" s="687">
        <f t="shared" si="39"/>
        <v>100</v>
      </c>
      <c r="G734" s="117">
        <f t="shared" si="40"/>
        <v>100</v>
      </c>
      <c r="H734" s="111"/>
    </row>
    <row r="735" spans="2:8" s="80" customFormat="1" ht="17.25" customHeight="1" x14ac:dyDescent="0.25">
      <c r="B735" s="109"/>
      <c r="C735" s="249" t="s">
        <v>2742</v>
      </c>
      <c r="D735" s="523">
        <f>SUM(D736)</f>
        <v>353682000</v>
      </c>
      <c r="E735" s="113">
        <f>D735</f>
        <v>353682000</v>
      </c>
      <c r="F735" s="699">
        <f t="shared" si="39"/>
        <v>100</v>
      </c>
      <c r="G735" s="117">
        <f t="shared" si="40"/>
        <v>100</v>
      </c>
      <c r="H735" s="111"/>
    </row>
    <row r="736" spans="2:8" s="80" customFormat="1" ht="18.75" customHeight="1" x14ac:dyDescent="0.25">
      <c r="B736" s="109"/>
      <c r="C736" s="118" t="s">
        <v>2743</v>
      </c>
      <c r="D736" s="751">
        <v>353682000</v>
      </c>
      <c r="E736" s="108">
        <f>D736</f>
        <v>353682000</v>
      </c>
      <c r="F736" s="687">
        <f t="shared" si="39"/>
        <v>100</v>
      </c>
      <c r="G736" s="117">
        <f t="shared" si="40"/>
        <v>100</v>
      </c>
      <c r="H736" s="111"/>
    </row>
    <row r="737" spans="2:8" ht="17.25" customHeight="1" x14ac:dyDescent="0.25">
      <c r="B737" s="179"/>
      <c r="C737" s="118"/>
      <c r="D737" s="751"/>
      <c r="E737" s="108"/>
      <c r="F737" s="699"/>
      <c r="G737" s="117"/>
      <c r="H737" s="183"/>
    </row>
    <row r="738" spans="2:8" ht="17.25" customHeight="1" x14ac:dyDescent="0.25">
      <c r="B738" s="179"/>
      <c r="C738" s="249" t="s">
        <v>2744</v>
      </c>
      <c r="D738" s="523">
        <f>D739+D741+D744+D746</f>
        <v>2122565600</v>
      </c>
      <c r="E738" s="113">
        <f>E739+E741+E744+E746</f>
        <v>2122565600</v>
      </c>
      <c r="F738" s="699">
        <f t="shared" si="39"/>
        <v>100</v>
      </c>
      <c r="G738" s="117">
        <f t="shared" si="40"/>
        <v>100</v>
      </c>
      <c r="H738" s="183"/>
    </row>
    <row r="739" spans="2:8" ht="17.25" customHeight="1" x14ac:dyDescent="0.25">
      <c r="B739" s="179"/>
      <c r="C739" s="249" t="s">
        <v>156</v>
      </c>
      <c r="D739" s="523">
        <f>SUM(D740)</f>
        <v>688071000</v>
      </c>
      <c r="E739" s="113">
        <f>SUM(E740)</f>
        <v>688071000</v>
      </c>
      <c r="F739" s="699">
        <f t="shared" si="39"/>
        <v>100</v>
      </c>
      <c r="G739" s="117">
        <f t="shared" si="40"/>
        <v>100</v>
      </c>
      <c r="H739" s="183"/>
    </row>
    <row r="740" spans="2:8" ht="17.25" customHeight="1" x14ac:dyDescent="0.25">
      <c r="B740" s="179"/>
      <c r="C740" s="118" t="s">
        <v>2729</v>
      </c>
      <c r="D740" s="751">
        <v>688071000</v>
      </c>
      <c r="E740" s="108">
        <f>D740</f>
        <v>688071000</v>
      </c>
      <c r="F740" s="687">
        <f t="shared" si="39"/>
        <v>100</v>
      </c>
      <c r="G740" s="117">
        <f t="shared" si="40"/>
        <v>100</v>
      </c>
      <c r="H740" s="183"/>
    </row>
    <row r="741" spans="2:8" ht="17.25" customHeight="1" x14ac:dyDescent="0.25">
      <c r="B741" s="179"/>
      <c r="C741" s="249" t="s">
        <v>166</v>
      </c>
      <c r="D741" s="523">
        <f>SUM(D742:D743)</f>
        <v>968153000</v>
      </c>
      <c r="E741" s="113">
        <f>SUM(E742:E743)</f>
        <v>968153000</v>
      </c>
      <c r="F741" s="699">
        <f t="shared" si="39"/>
        <v>100</v>
      </c>
      <c r="G741" s="117">
        <f t="shared" si="40"/>
        <v>100</v>
      </c>
      <c r="H741" s="183"/>
    </row>
    <row r="742" spans="2:8" ht="17.25" customHeight="1" x14ac:dyDescent="0.25">
      <c r="B742" s="179"/>
      <c r="C742" s="118" t="s">
        <v>2745</v>
      </c>
      <c r="D742" s="751">
        <v>318153000</v>
      </c>
      <c r="E742" s="108">
        <f>D742</f>
        <v>318153000</v>
      </c>
      <c r="F742" s="687">
        <f t="shared" si="39"/>
        <v>100</v>
      </c>
      <c r="G742" s="117">
        <f t="shared" si="40"/>
        <v>100</v>
      </c>
      <c r="H742" s="183"/>
    </row>
    <row r="743" spans="2:8" ht="17.25" customHeight="1" x14ac:dyDescent="0.25">
      <c r="B743" s="179"/>
      <c r="C743" s="118" t="s">
        <v>2731</v>
      </c>
      <c r="D743" s="751">
        <v>650000000</v>
      </c>
      <c r="E743" s="108">
        <f>D743</f>
        <v>650000000</v>
      </c>
      <c r="F743" s="687">
        <f t="shared" si="39"/>
        <v>100</v>
      </c>
      <c r="G743" s="117">
        <f t="shared" si="40"/>
        <v>100</v>
      </c>
      <c r="H743" s="183"/>
    </row>
    <row r="744" spans="2:8" ht="17.25" customHeight="1" x14ac:dyDescent="0.25">
      <c r="B744" s="179"/>
      <c r="C744" s="249" t="s">
        <v>177</v>
      </c>
      <c r="D744" s="761">
        <f>SUM(D745)</f>
        <v>156000000</v>
      </c>
      <c r="E744" s="113">
        <f>SUM(E745)</f>
        <v>156000000</v>
      </c>
      <c r="F744" s="699">
        <f t="shared" si="39"/>
        <v>100</v>
      </c>
      <c r="G744" s="117">
        <f t="shared" si="40"/>
        <v>100</v>
      </c>
      <c r="H744" s="183"/>
    </row>
    <row r="745" spans="2:8" ht="17.25" customHeight="1" x14ac:dyDescent="0.25">
      <c r="B745" s="179"/>
      <c r="C745" s="118" t="s">
        <v>2746</v>
      </c>
      <c r="D745" s="751">
        <v>156000000</v>
      </c>
      <c r="E745" s="108">
        <f>D745</f>
        <v>156000000</v>
      </c>
      <c r="F745" s="687">
        <f t="shared" si="39"/>
        <v>100</v>
      </c>
      <c r="G745" s="117">
        <f t="shared" si="40"/>
        <v>100</v>
      </c>
      <c r="H745" s="183"/>
    </row>
    <row r="746" spans="2:8" ht="17.25" customHeight="1" x14ac:dyDescent="0.25">
      <c r="B746" s="179"/>
      <c r="C746" s="249" t="s">
        <v>2747</v>
      </c>
      <c r="D746" s="523">
        <f>SUM(D747)</f>
        <v>310341600</v>
      </c>
      <c r="E746" s="113">
        <f>SUM(E747)</f>
        <v>310341600</v>
      </c>
      <c r="F746" s="699">
        <f t="shared" si="39"/>
        <v>100</v>
      </c>
      <c r="G746" s="117">
        <f t="shared" si="40"/>
        <v>100</v>
      </c>
      <c r="H746" s="183"/>
    </row>
    <row r="747" spans="2:8" ht="17.25" customHeight="1" x14ac:dyDescent="0.25">
      <c r="B747" s="179"/>
      <c r="C747" s="118" t="s">
        <v>2748</v>
      </c>
      <c r="D747" s="751">
        <v>310341600</v>
      </c>
      <c r="E747" s="108">
        <f>D747</f>
        <v>310341600</v>
      </c>
      <c r="F747" s="687">
        <f t="shared" si="39"/>
        <v>100</v>
      </c>
      <c r="G747" s="117">
        <f t="shared" si="40"/>
        <v>100</v>
      </c>
      <c r="H747" s="183"/>
    </row>
    <row r="748" spans="2:8" ht="17.25" customHeight="1" x14ac:dyDescent="0.25">
      <c r="B748" s="179"/>
      <c r="C748" s="196"/>
      <c r="D748" s="197"/>
      <c r="E748" s="198"/>
      <c r="F748" s="195"/>
      <c r="G748" s="114"/>
      <c r="H748" s="183"/>
    </row>
    <row r="749" spans="2:8" ht="17.25" customHeight="1" x14ac:dyDescent="0.25">
      <c r="B749" s="179">
        <v>17</v>
      </c>
      <c r="C749" s="280" t="s">
        <v>2790</v>
      </c>
      <c r="D749" s="185">
        <f>+D750+D774</f>
        <v>14434993250</v>
      </c>
      <c r="E749" s="185">
        <f>+E750+E774</f>
        <v>14111432155</v>
      </c>
      <c r="F749" s="186">
        <f>E749/D749*100</f>
        <v>97.758495003106432</v>
      </c>
      <c r="G749" s="114">
        <f>(G750+G774)/2</f>
        <v>100</v>
      </c>
      <c r="H749" s="183"/>
    </row>
    <row r="750" spans="2:8" ht="17.25" customHeight="1" x14ac:dyDescent="0.25">
      <c r="B750" s="179"/>
      <c r="C750" s="295" t="s">
        <v>150</v>
      </c>
      <c r="D750" s="293">
        <f>D751+D753+D755+D757+D759+D764+D766+D768+D770</f>
        <v>14234993250</v>
      </c>
      <c r="E750" s="634">
        <f>E751+E753+E755+E757+E759+E764+E766+E768+E770+E773+E774</f>
        <v>13911432155</v>
      </c>
      <c r="F750" s="716">
        <f>E750/D750*100</f>
        <v>97.727002118529285</v>
      </c>
      <c r="G750" s="331">
        <v>100</v>
      </c>
      <c r="H750" s="183"/>
    </row>
    <row r="751" spans="2:8" s="154" customFormat="1" ht="17.25" customHeight="1" x14ac:dyDescent="0.25">
      <c r="B751" s="184"/>
      <c r="C751" s="295" t="s">
        <v>156</v>
      </c>
      <c r="D751" s="293">
        <v>1600000000</v>
      </c>
      <c r="E751" s="634">
        <f>E752</f>
        <v>1518885125</v>
      </c>
      <c r="F751" s="716">
        <f t="shared" ref="F751:F772" si="41">E751/D751*100</f>
        <v>94.930320312500001</v>
      </c>
      <c r="G751" s="331">
        <v>100</v>
      </c>
      <c r="H751" s="188"/>
    </row>
    <row r="752" spans="2:8" ht="17.25" customHeight="1" x14ac:dyDescent="0.25">
      <c r="B752" s="179"/>
      <c r="C752" s="294" t="s">
        <v>2814</v>
      </c>
      <c r="D752" s="123">
        <v>1600000000</v>
      </c>
      <c r="E752" s="636">
        <v>1518885125</v>
      </c>
      <c r="F752" s="583">
        <f t="shared" si="41"/>
        <v>94.930320312500001</v>
      </c>
      <c r="G752" s="365">
        <v>100</v>
      </c>
      <c r="H752" s="183"/>
    </row>
    <row r="753" spans="2:8" s="154" customFormat="1" ht="17.25" customHeight="1" x14ac:dyDescent="0.25">
      <c r="B753" s="184"/>
      <c r="C753" s="295" t="s">
        <v>2815</v>
      </c>
      <c r="D753" s="293">
        <v>1270000000</v>
      </c>
      <c r="E753" s="637">
        <f>E754</f>
        <v>1261587900</v>
      </c>
      <c r="F753" s="716">
        <f t="shared" si="41"/>
        <v>99.337629921259847</v>
      </c>
      <c r="G753" s="331">
        <v>100</v>
      </c>
      <c r="H753" s="188"/>
    </row>
    <row r="754" spans="2:8" ht="17.25" customHeight="1" x14ac:dyDescent="0.25">
      <c r="B754" s="179"/>
      <c r="C754" s="294" t="s">
        <v>2816</v>
      </c>
      <c r="D754" s="123">
        <v>1270000000</v>
      </c>
      <c r="E754" s="636">
        <v>1261587900</v>
      </c>
      <c r="F754" s="583">
        <f t="shared" si="41"/>
        <v>99.337629921259847</v>
      </c>
      <c r="G754" s="365">
        <v>100</v>
      </c>
      <c r="H754" s="183"/>
    </row>
    <row r="755" spans="2:8" s="154" customFormat="1" ht="17.25" customHeight="1" x14ac:dyDescent="0.25">
      <c r="B755" s="184"/>
      <c r="C755" s="295" t="s">
        <v>705</v>
      </c>
      <c r="D755" s="293">
        <v>300000000</v>
      </c>
      <c r="E755" s="638">
        <f>E756</f>
        <v>299982880</v>
      </c>
      <c r="F755" s="716">
        <f t="shared" si="41"/>
        <v>99.994293333333331</v>
      </c>
      <c r="G755" s="331">
        <v>100</v>
      </c>
      <c r="H755" s="188"/>
    </row>
    <row r="756" spans="2:8" ht="17.25" customHeight="1" x14ac:dyDescent="0.25">
      <c r="B756" s="179"/>
      <c r="C756" s="294" t="s">
        <v>1723</v>
      </c>
      <c r="D756" s="123">
        <v>300000000</v>
      </c>
      <c r="E756" s="636">
        <v>299982880</v>
      </c>
      <c r="F756" s="583">
        <f t="shared" si="41"/>
        <v>99.994293333333331</v>
      </c>
      <c r="G756" s="365">
        <v>100</v>
      </c>
      <c r="H756" s="183"/>
    </row>
    <row r="757" spans="2:8" s="154" customFormat="1" ht="17.25" customHeight="1" x14ac:dyDescent="0.25">
      <c r="B757" s="184"/>
      <c r="C757" s="280" t="s">
        <v>177</v>
      </c>
      <c r="D757" s="293">
        <v>312750000</v>
      </c>
      <c r="E757" s="638">
        <f>E758</f>
        <v>236319600</v>
      </c>
      <c r="F757" s="716">
        <f t="shared" si="41"/>
        <v>75.561822541966421</v>
      </c>
      <c r="G757" s="331">
        <v>75</v>
      </c>
      <c r="H757" s="188"/>
    </row>
    <row r="758" spans="2:8" ht="40.5" customHeight="1" x14ac:dyDescent="0.25">
      <c r="B758" s="179"/>
      <c r="C758" s="294" t="s">
        <v>2817</v>
      </c>
      <c r="D758" s="123">
        <v>312750000</v>
      </c>
      <c r="E758" s="636">
        <v>236319600</v>
      </c>
      <c r="F758" s="583">
        <f t="shared" si="41"/>
        <v>75.561822541966421</v>
      </c>
      <c r="G758" s="365">
        <v>75</v>
      </c>
      <c r="H758" s="183"/>
    </row>
    <row r="759" spans="2:8" s="154" customFormat="1" ht="17.25" customHeight="1" x14ac:dyDescent="0.25">
      <c r="B759" s="184"/>
      <c r="C759" s="295" t="s">
        <v>182</v>
      </c>
      <c r="D759" s="293">
        <v>4095603250</v>
      </c>
      <c r="E759" s="637">
        <f>SUM(E760:E763)</f>
        <v>3827058950</v>
      </c>
      <c r="F759" s="716">
        <f t="shared" si="41"/>
        <v>93.443107556866011</v>
      </c>
      <c r="G759" s="331">
        <v>94</v>
      </c>
      <c r="H759" s="188"/>
    </row>
    <row r="760" spans="2:8" ht="17.25" customHeight="1" x14ac:dyDescent="0.25">
      <c r="B760" s="179"/>
      <c r="C760" s="294" t="s">
        <v>2818</v>
      </c>
      <c r="D760" s="123">
        <v>112500000</v>
      </c>
      <c r="E760" s="636">
        <v>112500000</v>
      </c>
      <c r="F760" s="583">
        <f t="shared" si="41"/>
        <v>100</v>
      </c>
      <c r="G760" s="365">
        <v>100</v>
      </c>
      <c r="H760" s="183"/>
    </row>
    <row r="761" spans="2:8" ht="40.5" customHeight="1" x14ac:dyDescent="0.25">
      <c r="B761" s="179"/>
      <c r="C761" s="294" t="s">
        <v>2819</v>
      </c>
      <c r="D761" s="123">
        <v>962500000</v>
      </c>
      <c r="E761" s="636">
        <v>962465950</v>
      </c>
      <c r="F761" s="583">
        <f t="shared" si="41"/>
        <v>99.996462337662336</v>
      </c>
      <c r="G761" s="365">
        <v>100</v>
      </c>
      <c r="H761" s="183"/>
    </row>
    <row r="762" spans="2:8" ht="17.25" customHeight="1" x14ac:dyDescent="0.25">
      <c r="B762" s="179"/>
      <c r="C762" s="294" t="s">
        <v>2820</v>
      </c>
      <c r="D762" s="123">
        <v>100000000</v>
      </c>
      <c r="E762" s="636">
        <v>100000000</v>
      </c>
      <c r="F762" s="583">
        <f t="shared" si="41"/>
        <v>100</v>
      </c>
      <c r="G762" s="365">
        <v>100</v>
      </c>
      <c r="H762" s="183"/>
    </row>
    <row r="763" spans="2:8" ht="17.25" customHeight="1" x14ac:dyDescent="0.25">
      <c r="B763" s="179"/>
      <c r="C763" s="294" t="s">
        <v>2821</v>
      </c>
      <c r="D763" s="123">
        <v>2920603250</v>
      </c>
      <c r="E763" s="636">
        <v>2652093000</v>
      </c>
      <c r="F763" s="583">
        <f t="shared" si="41"/>
        <v>90.806342833454011</v>
      </c>
      <c r="G763" s="365">
        <v>91</v>
      </c>
      <c r="H763" s="183"/>
    </row>
    <row r="764" spans="2:8" s="154" customFormat="1" ht="17.25" customHeight="1" x14ac:dyDescent="0.25">
      <c r="B764" s="184"/>
      <c r="C764" s="295" t="s">
        <v>720</v>
      </c>
      <c r="D764" s="293">
        <v>200000000</v>
      </c>
      <c r="E764" s="637">
        <f>E765</f>
        <v>199429000</v>
      </c>
      <c r="F764" s="716">
        <f t="shared" si="41"/>
        <v>99.714500000000001</v>
      </c>
      <c r="G764" s="331">
        <v>100</v>
      </c>
      <c r="H764" s="188"/>
    </row>
    <row r="765" spans="2:8" ht="40.5" customHeight="1" x14ac:dyDescent="0.25">
      <c r="B765" s="179"/>
      <c r="C765" s="294" t="s">
        <v>2822</v>
      </c>
      <c r="D765" s="123">
        <v>200000000</v>
      </c>
      <c r="E765" s="636">
        <v>199429000</v>
      </c>
      <c r="F765" s="583">
        <f t="shared" si="41"/>
        <v>99.714500000000001</v>
      </c>
      <c r="G765" s="365">
        <v>100</v>
      </c>
      <c r="H765" s="183"/>
    </row>
    <row r="766" spans="2:8" s="154" customFormat="1" ht="17.25" customHeight="1" x14ac:dyDescent="0.25">
      <c r="B766" s="184"/>
      <c r="C766" s="295" t="s">
        <v>1578</v>
      </c>
      <c r="D766" s="293">
        <v>825240000</v>
      </c>
      <c r="E766" s="637">
        <f>E767</f>
        <v>756470000</v>
      </c>
      <c r="F766" s="716">
        <f t="shared" si="41"/>
        <v>91.666666666666657</v>
      </c>
      <c r="G766" s="331">
        <v>92</v>
      </c>
      <c r="H766" s="188"/>
    </row>
    <row r="767" spans="2:8" ht="17.25" customHeight="1" x14ac:dyDescent="0.25">
      <c r="B767" s="179"/>
      <c r="C767" s="294" t="s">
        <v>1734</v>
      </c>
      <c r="D767" s="123">
        <v>825240000</v>
      </c>
      <c r="E767" s="636">
        <v>756470000</v>
      </c>
      <c r="F767" s="583">
        <f t="shared" si="41"/>
        <v>91.666666666666657</v>
      </c>
      <c r="G767" s="365">
        <v>92</v>
      </c>
      <c r="H767" s="183"/>
    </row>
    <row r="768" spans="2:8" s="154" customFormat="1" ht="17.25" customHeight="1" x14ac:dyDescent="0.25">
      <c r="B768" s="184"/>
      <c r="C768" s="280" t="s">
        <v>2099</v>
      </c>
      <c r="D768" s="293">
        <v>1500000000</v>
      </c>
      <c r="E768" s="637">
        <f>E769</f>
        <v>1486025700</v>
      </c>
      <c r="F768" s="716">
        <f t="shared" si="41"/>
        <v>99.068380000000005</v>
      </c>
      <c r="G768" s="331">
        <v>100</v>
      </c>
      <c r="H768" s="188"/>
    </row>
    <row r="769" spans="2:8" ht="17.25" customHeight="1" x14ac:dyDescent="0.25">
      <c r="B769" s="179"/>
      <c r="C769" s="294" t="s">
        <v>2823</v>
      </c>
      <c r="D769" s="123">
        <v>1500000000</v>
      </c>
      <c r="E769" s="636">
        <v>1486025700</v>
      </c>
      <c r="F769" s="583">
        <f t="shared" si="41"/>
        <v>99.068380000000005</v>
      </c>
      <c r="G769" s="365">
        <v>100</v>
      </c>
      <c r="H769" s="183"/>
    </row>
    <row r="770" spans="2:8" s="154" customFormat="1" ht="17.25" customHeight="1" x14ac:dyDescent="0.25">
      <c r="B770" s="184"/>
      <c r="C770" s="280" t="s">
        <v>2824</v>
      </c>
      <c r="D770" s="293">
        <v>4131400000</v>
      </c>
      <c r="E770" s="637">
        <f>SUM(E771:E772)</f>
        <v>4125673000</v>
      </c>
      <c r="F770" s="716">
        <f t="shared" si="41"/>
        <v>99.861378709396334</v>
      </c>
      <c r="G770" s="331">
        <v>100</v>
      </c>
      <c r="H770" s="188"/>
    </row>
    <row r="771" spans="2:8" ht="17.25" customHeight="1" x14ac:dyDescent="0.25">
      <c r="B771" s="179"/>
      <c r="C771" s="294" t="s">
        <v>2825</v>
      </c>
      <c r="D771" s="123">
        <v>241000000</v>
      </c>
      <c r="E771" s="636">
        <v>235273000</v>
      </c>
      <c r="F771" s="583">
        <f t="shared" si="41"/>
        <v>97.623651452282161</v>
      </c>
      <c r="G771" s="365">
        <v>98</v>
      </c>
      <c r="H771" s="183"/>
    </row>
    <row r="772" spans="2:8" ht="17.25" customHeight="1" x14ac:dyDescent="0.25">
      <c r="B772" s="179"/>
      <c r="C772" s="294" t="s">
        <v>2826</v>
      </c>
      <c r="D772" s="123">
        <v>3890400000</v>
      </c>
      <c r="E772" s="636">
        <v>3890400000</v>
      </c>
      <c r="F772" s="583">
        <f t="shared" si="41"/>
        <v>100</v>
      </c>
      <c r="G772" s="365">
        <v>100</v>
      </c>
      <c r="H772" s="183"/>
    </row>
    <row r="773" spans="2:8" ht="17.25" customHeight="1" x14ac:dyDescent="0.25">
      <c r="B773" s="179"/>
      <c r="C773" s="196"/>
      <c r="D773" s="116"/>
      <c r="E773" s="636"/>
      <c r="F773" s="195"/>
      <c r="G773" s="114"/>
      <c r="H773" s="183"/>
    </row>
    <row r="774" spans="2:8" s="154" customFormat="1" ht="17.25" customHeight="1" x14ac:dyDescent="0.25">
      <c r="B774" s="184"/>
      <c r="C774" s="180" t="s">
        <v>2827</v>
      </c>
      <c r="D774" s="293">
        <v>200000000</v>
      </c>
      <c r="E774" s="638">
        <f>E775</f>
        <v>200000000</v>
      </c>
      <c r="F774" s="716">
        <f>E774/D774*100</f>
        <v>100</v>
      </c>
      <c r="G774" s="331">
        <v>100</v>
      </c>
      <c r="H774" s="188"/>
    </row>
    <row r="775" spans="2:8" s="154" customFormat="1" ht="17.25" customHeight="1" x14ac:dyDescent="0.25">
      <c r="B775" s="184"/>
      <c r="C775" s="180" t="s">
        <v>4034</v>
      </c>
      <c r="D775" s="293">
        <v>200000000</v>
      </c>
      <c r="E775" s="636">
        <f>E776</f>
        <v>200000000</v>
      </c>
      <c r="F775" s="583">
        <f>E775/D775*100</f>
        <v>100</v>
      </c>
      <c r="G775" s="365">
        <v>100</v>
      </c>
      <c r="H775" s="188"/>
    </row>
    <row r="776" spans="2:8" s="154" customFormat="1" ht="17.25" customHeight="1" x14ac:dyDescent="0.25">
      <c r="B776" s="184"/>
      <c r="C776" s="180" t="s">
        <v>2829</v>
      </c>
      <c r="D776" s="123">
        <v>200000000</v>
      </c>
      <c r="E776" s="636">
        <v>200000000</v>
      </c>
      <c r="F776" s="583">
        <f>E776/D776*100</f>
        <v>100</v>
      </c>
      <c r="G776" s="365">
        <v>100</v>
      </c>
      <c r="H776" s="188"/>
    </row>
    <row r="777" spans="2:8" s="154" customFormat="1" ht="17.25" customHeight="1" x14ac:dyDescent="0.25">
      <c r="B777" s="184"/>
      <c r="C777" s="180"/>
      <c r="D777" s="185"/>
      <c r="E777" s="185"/>
      <c r="F777" s="186"/>
      <c r="G777" s="114"/>
      <c r="H777" s="188"/>
    </row>
    <row r="778" spans="2:8" ht="17.25" customHeight="1" x14ac:dyDescent="0.25">
      <c r="B778" s="179">
        <v>18</v>
      </c>
      <c r="C778" s="277" t="s">
        <v>2865</v>
      </c>
      <c r="D778" s="185">
        <f>D779+D795</f>
        <v>15121291650</v>
      </c>
      <c r="E778" s="185">
        <f>E779+E795</f>
        <v>14960400650</v>
      </c>
      <c r="F778" s="186">
        <f>E778/D778*100</f>
        <v>98.935996978803061</v>
      </c>
      <c r="G778" s="114">
        <f>(G779+G795)/2</f>
        <v>100</v>
      </c>
      <c r="H778" s="183"/>
    </row>
    <row r="779" spans="2:8" ht="17.25" customHeight="1" x14ac:dyDescent="0.25">
      <c r="B779" s="179"/>
      <c r="C779" s="580" t="s">
        <v>150</v>
      </c>
      <c r="D779" s="120">
        <f>D780+D782+D784+D787+D789+D792</f>
        <v>10121291650</v>
      </c>
      <c r="E779" s="320">
        <f>E780+E782+E784+E787+E789+E792</f>
        <v>9960400650</v>
      </c>
      <c r="F779" s="320">
        <f>E779/D779*100</f>
        <v>98.41037087395857</v>
      </c>
      <c r="G779" s="612">
        <v>100</v>
      </c>
      <c r="H779" s="183"/>
    </row>
    <row r="780" spans="2:8" ht="17.25" customHeight="1" x14ac:dyDescent="0.25">
      <c r="B780" s="179"/>
      <c r="C780" s="580" t="s">
        <v>156</v>
      </c>
      <c r="D780" s="120">
        <v>3000000000</v>
      </c>
      <c r="E780" s="320">
        <f>E781</f>
        <v>2990000000</v>
      </c>
      <c r="F780" s="320">
        <f>E780/D780*100</f>
        <v>99.666666666666671</v>
      </c>
      <c r="G780" s="612">
        <v>100</v>
      </c>
      <c r="H780" s="183"/>
    </row>
    <row r="781" spans="2:8" ht="17.25" customHeight="1" x14ac:dyDescent="0.25">
      <c r="B781" s="179"/>
      <c r="C781" s="581" t="s">
        <v>2883</v>
      </c>
      <c r="D781" s="107">
        <v>3000000000</v>
      </c>
      <c r="E781" s="320">
        <f>2990000000</f>
        <v>2990000000</v>
      </c>
      <c r="F781" s="320">
        <f t="shared" ref="F781:F791" si="42">E781/D781*100</f>
        <v>99.666666666666671</v>
      </c>
      <c r="G781" s="235">
        <v>100</v>
      </c>
      <c r="H781" s="183"/>
    </row>
    <row r="782" spans="2:8" ht="17.25" customHeight="1" x14ac:dyDescent="0.25">
      <c r="B782" s="179"/>
      <c r="C782" s="580" t="s">
        <v>166</v>
      </c>
      <c r="D782" s="120">
        <v>750000000</v>
      </c>
      <c r="E782" s="320">
        <f>E783</f>
        <v>748700000</v>
      </c>
      <c r="F782" s="320">
        <f t="shared" si="42"/>
        <v>99.826666666666668</v>
      </c>
      <c r="G782" s="235">
        <v>100</v>
      </c>
      <c r="H782" s="183"/>
    </row>
    <row r="783" spans="2:8" ht="17.25" customHeight="1" x14ac:dyDescent="0.25">
      <c r="B783" s="179"/>
      <c r="C783" s="581" t="s">
        <v>2884</v>
      </c>
      <c r="D783" s="107">
        <v>750000000</v>
      </c>
      <c r="E783" s="320">
        <f>748700000</f>
        <v>748700000</v>
      </c>
      <c r="F783" s="320">
        <f t="shared" si="42"/>
        <v>99.826666666666668</v>
      </c>
      <c r="G783" s="612">
        <v>100</v>
      </c>
      <c r="H783" s="183"/>
    </row>
    <row r="784" spans="2:8" ht="17.25" customHeight="1" x14ac:dyDescent="0.25">
      <c r="B784" s="179"/>
      <c r="C784" s="580" t="s">
        <v>182</v>
      </c>
      <c r="D784" s="120">
        <v>868100000</v>
      </c>
      <c r="E784" s="320">
        <f>E785+E786</f>
        <v>768100000</v>
      </c>
      <c r="F784" s="320">
        <f t="shared" si="42"/>
        <v>88.480589793802551</v>
      </c>
      <c r="G784" s="612">
        <v>100</v>
      </c>
      <c r="H784" s="183"/>
    </row>
    <row r="785" spans="2:8" ht="17.25" customHeight="1" x14ac:dyDescent="0.25">
      <c r="B785" s="179"/>
      <c r="C785" s="581" t="s">
        <v>2576</v>
      </c>
      <c r="D785" s="107">
        <v>618100000</v>
      </c>
      <c r="E785" s="320">
        <f>618100000</f>
        <v>618100000</v>
      </c>
      <c r="F785" s="320">
        <f t="shared" si="42"/>
        <v>100</v>
      </c>
      <c r="G785" s="612">
        <v>100</v>
      </c>
      <c r="H785" s="183"/>
    </row>
    <row r="786" spans="2:8" ht="17.25" customHeight="1" x14ac:dyDescent="0.25">
      <c r="B786" s="179"/>
      <c r="C786" s="581" t="s">
        <v>2885</v>
      </c>
      <c r="D786" s="107">
        <v>250000000</v>
      </c>
      <c r="E786" s="320">
        <f>150000000</f>
        <v>150000000</v>
      </c>
      <c r="F786" s="320">
        <f t="shared" si="42"/>
        <v>60</v>
      </c>
      <c r="G786" s="612">
        <v>100</v>
      </c>
      <c r="H786" s="183"/>
    </row>
    <row r="787" spans="2:8" ht="17.25" customHeight="1" x14ac:dyDescent="0.25">
      <c r="B787" s="179"/>
      <c r="C787" s="580" t="s">
        <v>4035</v>
      </c>
      <c r="D787" s="120">
        <v>4500000000</v>
      </c>
      <c r="E787" s="320">
        <v>4451153000</v>
      </c>
      <c r="F787" s="320">
        <f t="shared" si="42"/>
        <v>98.914511111111111</v>
      </c>
      <c r="G787" s="612">
        <v>100</v>
      </c>
      <c r="H787" s="183"/>
    </row>
    <row r="788" spans="2:8" ht="17.25" customHeight="1" x14ac:dyDescent="0.25">
      <c r="B788" s="179"/>
      <c r="C788" s="581" t="s">
        <v>2887</v>
      </c>
      <c r="D788" s="107">
        <v>4500000000</v>
      </c>
      <c r="E788" s="320">
        <f>4451153000</f>
        <v>4451153000</v>
      </c>
      <c r="F788" s="320">
        <f t="shared" si="42"/>
        <v>98.914511111111111</v>
      </c>
      <c r="G788" s="612">
        <v>100</v>
      </c>
      <c r="H788" s="183"/>
    </row>
    <row r="789" spans="2:8" ht="17.25" customHeight="1" x14ac:dyDescent="0.25">
      <c r="B789" s="179"/>
      <c r="C789" s="580" t="s">
        <v>843</v>
      </c>
      <c r="D789" s="120">
        <v>753191650</v>
      </c>
      <c r="E789" s="320">
        <f>E790+E791</f>
        <v>752447650</v>
      </c>
      <c r="F789" s="320">
        <f t="shared" si="42"/>
        <v>99.901220360050459</v>
      </c>
      <c r="G789" s="612">
        <v>100</v>
      </c>
      <c r="H789" s="183"/>
    </row>
    <row r="790" spans="2:8" ht="17.25" customHeight="1" x14ac:dyDescent="0.25">
      <c r="B790" s="179"/>
      <c r="C790" s="581" t="s">
        <v>2888</v>
      </c>
      <c r="D790" s="107">
        <v>250000000</v>
      </c>
      <c r="E790" s="320">
        <f>249256000</f>
        <v>249256000</v>
      </c>
      <c r="F790" s="320">
        <f t="shared" si="42"/>
        <v>99.702399999999997</v>
      </c>
      <c r="G790" s="612">
        <v>100</v>
      </c>
      <c r="H790" s="183"/>
    </row>
    <row r="791" spans="2:8" ht="17.25" customHeight="1" x14ac:dyDescent="0.25">
      <c r="B791" s="179"/>
      <c r="C791" s="581" t="s">
        <v>2889</v>
      </c>
      <c r="D791" s="107">
        <v>503191650</v>
      </c>
      <c r="E791" s="320">
        <f>503191650</f>
        <v>503191650</v>
      </c>
      <c r="F791" s="320">
        <f t="shared" si="42"/>
        <v>100</v>
      </c>
      <c r="G791" s="612">
        <v>100</v>
      </c>
      <c r="H791" s="183"/>
    </row>
    <row r="792" spans="2:8" ht="17.25" customHeight="1" x14ac:dyDescent="0.25">
      <c r="B792" s="179"/>
      <c r="C792" s="580" t="s">
        <v>843</v>
      </c>
      <c r="D792" s="120">
        <v>250000000</v>
      </c>
      <c r="E792" s="320">
        <v>250000000</v>
      </c>
      <c r="F792" s="320">
        <v>100</v>
      </c>
      <c r="G792" s="612">
        <v>100</v>
      </c>
      <c r="H792" s="183"/>
    </row>
    <row r="793" spans="2:8" ht="17.25" customHeight="1" x14ac:dyDescent="0.25">
      <c r="B793" s="179"/>
      <c r="C793" s="581" t="s">
        <v>2891</v>
      </c>
      <c r="D793" s="107">
        <v>250000000</v>
      </c>
      <c r="E793" s="320">
        <f>250000000</f>
        <v>250000000</v>
      </c>
      <c r="F793" s="320">
        <v>100</v>
      </c>
      <c r="G793" s="612">
        <v>100</v>
      </c>
      <c r="H793" s="183"/>
    </row>
    <row r="794" spans="2:8" ht="17.25" customHeight="1" x14ac:dyDescent="0.25">
      <c r="B794" s="179"/>
      <c r="C794" s="714"/>
      <c r="D794" s="107"/>
      <c r="E794" s="320"/>
      <c r="F794" s="320"/>
      <c r="G794" s="612"/>
      <c r="H794" s="183"/>
    </row>
    <row r="795" spans="2:8" s="154" customFormat="1" ht="17.25" customHeight="1" x14ac:dyDescent="0.25">
      <c r="B795" s="184"/>
      <c r="C795" s="712" t="s">
        <v>2879</v>
      </c>
      <c r="D795" s="120">
        <v>5000000000</v>
      </c>
      <c r="E795" s="320">
        <v>5000000000</v>
      </c>
      <c r="F795" s="320">
        <v>100</v>
      </c>
      <c r="G795" s="612">
        <v>100</v>
      </c>
      <c r="H795" s="188"/>
    </row>
    <row r="796" spans="2:8" s="154" customFormat="1" ht="17.25" customHeight="1" x14ac:dyDescent="0.25">
      <c r="B796" s="184"/>
      <c r="C796" s="712" t="s">
        <v>2892</v>
      </c>
      <c r="D796" s="120">
        <v>5000000000</v>
      </c>
      <c r="E796" s="320">
        <v>5000000000</v>
      </c>
      <c r="F796" s="320">
        <v>100</v>
      </c>
      <c r="G796" s="612">
        <v>100</v>
      </c>
      <c r="H796" s="188"/>
    </row>
    <row r="797" spans="2:8" ht="17.25" customHeight="1" x14ac:dyDescent="0.25">
      <c r="B797" s="179"/>
      <c r="C797" s="714" t="s">
        <v>2884</v>
      </c>
      <c r="D797" s="107">
        <v>5000000000</v>
      </c>
      <c r="E797" s="320">
        <v>5000000000</v>
      </c>
      <c r="F797" s="320">
        <v>100</v>
      </c>
      <c r="G797" s="612">
        <v>100</v>
      </c>
      <c r="H797" s="183"/>
    </row>
    <row r="798" spans="2:8" ht="17.25" customHeight="1" x14ac:dyDescent="0.25">
      <c r="B798" s="179"/>
      <c r="C798" s="196"/>
      <c r="D798" s="107"/>
      <c r="E798" s="198"/>
      <c r="F798" s="116"/>
      <c r="G798" s="117"/>
      <c r="H798" s="183"/>
    </row>
    <row r="799" spans="2:8" s="154" customFormat="1" ht="17.25" customHeight="1" x14ac:dyDescent="0.25">
      <c r="B799" s="184">
        <v>19</v>
      </c>
      <c r="C799" s="709" t="s">
        <v>2927</v>
      </c>
      <c r="D799" s="185">
        <f>D800+D844+D858</f>
        <v>14239822600</v>
      </c>
      <c r="E799" s="185">
        <f>E800+E844+E858</f>
        <v>9688280500</v>
      </c>
      <c r="F799" s="186">
        <f>+E799/D799*100</f>
        <v>68.036525258397532</v>
      </c>
      <c r="G799" s="114">
        <f>(G800+G844+G858)/3</f>
        <v>63.915440895949189</v>
      </c>
      <c r="H799" s="188"/>
    </row>
    <row r="800" spans="2:8" s="154" customFormat="1" ht="17.25" customHeight="1" x14ac:dyDescent="0.25">
      <c r="B800" s="184"/>
      <c r="C800" s="249" t="s">
        <v>150</v>
      </c>
      <c r="D800" s="441">
        <f>+D801+D804+D806+D811+D816+D821+D834+D836+D838</f>
        <v>6827016600</v>
      </c>
      <c r="E800" s="283">
        <f>+E801+E804+E811+E821+E836+E838</f>
        <v>3963083900</v>
      </c>
      <c r="F800" s="297">
        <f t="shared" ref="F800:F815" si="43">E800/D800*100</f>
        <v>58.050011186438297</v>
      </c>
      <c r="G800" s="114">
        <f t="shared" ref="G800:G815" si="44">+F800</f>
        <v>58.050011186438297</v>
      </c>
      <c r="H800" s="188"/>
    </row>
    <row r="801" spans="2:8" s="154" customFormat="1" ht="17.25" customHeight="1" x14ac:dyDescent="0.25">
      <c r="B801" s="184"/>
      <c r="C801" s="249" t="s">
        <v>156</v>
      </c>
      <c r="D801" s="441">
        <f>SUM(D802:D803)</f>
        <v>1150000000</v>
      </c>
      <c r="E801" s="283">
        <f>+E802+E803</f>
        <v>1049698900</v>
      </c>
      <c r="F801" s="297">
        <f t="shared" si="43"/>
        <v>91.278165217391305</v>
      </c>
      <c r="G801" s="114">
        <f t="shared" si="44"/>
        <v>91.278165217391305</v>
      </c>
      <c r="H801" s="188"/>
    </row>
    <row r="802" spans="2:8" ht="40.5" customHeight="1" x14ac:dyDescent="0.25">
      <c r="B802" s="179"/>
      <c r="C802" s="118" t="s">
        <v>2967</v>
      </c>
      <c r="D802" s="440">
        <v>900000000</v>
      </c>
      <c r="E802" s="538">
        <v>899698900</v>
      </c>
      <c r="F802" s="276">
        <f t="shared" si="43"/>
        <v>99.966544444444452</v>
      </c>
      <c r="G802" s="117">
        <f t="shared" si="44"/>
        <v>99.966544444444452</v>
      </c>
      <c r="H802" s="183"/>
    </row>
    <row r="803" spans="2:8" ht="17.25" customHeight="1" x14ac:dyDescent="0.25">
      <c r="B803" s="179"/>
      <c r="C803" s="119" t="s">
        <v>2968</v>
      </c>
      <c r="D803" s="440">
        <v>250000000</v>
      </c>
      <c r="E803" s="538">
        <v>150000000</v>
      </c>
      <c r="F803" s="276">
        <f t="shared" si="43"/>
        <v>60</v>
      </c>
      <c r="G803" s="117">
        <f t="shared" si="44"/>
        <v>60</v>
      </c>
      <c r="H803" s="183"/>
    </row>
    <row r="804" spans="2:8" s="154" customFormat="1" ht="17.25" customHeight="1" x14ac:dyDescent="0.25">
      <c r="B804" s="184"/>
      <c r="C804" s="249" t="s">
        <v>166</v>
      </c>
      <c r="D804" s="441">
        <f>SUM(D805)</f>
        <v>1000000000</v>
      </c>
      <c r="E804" s="283">
        <f>+E805</f>
        <v>1000000000</v>
      </c>
      <c r="F804" s="297">
        <f t="shared" si="43"/>
        <v>100</v>
      </c>
      <c r="G804" s="114">
        <f t="shared" si="44"/>
        <v>100</v>
      </c>
      <c r="H804" s="188"/>
    </row>
    <row r="805" spans="2:8" ht="17.25" customHeight="1" x14ac:dyDescent="0.25">
      <c r="B805" s="179"/>
      <c r="C805" s="119" t="s">
        <v>2969</v>
      </c>
      <c r="D805" s="440">
        <v>1000000000</v>
      </c>
      <c r="E805" s="538">
        <v>1000000000</v>
      </c>
      <c r="F805" s="276">
        <f t="shared" si="43"/>
        <v>100</v>
      </c>
      <c r="G805" s="117">
        <f t="shared" si="44"/>
        <v>100</v>
      </c>
      <c r="H805" s="183"/>
    </row>
    <row r="806" spans="2:8" s="154" customFormat="1" ht="17.25" customHeight="1" x14ac:dyDescent="0.25">
      <c r="B806" s="184"/>
      <c r="C806" s="249" t="s">
        <v>705</v>
      </c>
      <c r="D806" s="441">
        <f>SUM(D807:D810)</f>
        <v>937000000</v>
      </c>
      <c r="E806" s="283">
        <v>0</v>
      </c>
      <c r="F806" s="297"/>
      <c r="G806" s="114"/>
      <c r="H806" s="188"/>
    </row>
    <row r="807" spans="2:8" ht="17.25" customHeight="1" x14ac:dyDescent="0.25">
      <c r="B807" s="179"/>
      <c r="C807" s="118" t="s">
        <v>2970</v>
      </c>
      <c r="D807" s="440">
        <v>250000000</v>
      </c>
      <c r="E807" s="538">
        <v>0</v>
      </c>
      <c r="F807" s="276"/>
      <c r="G807" s="114"/>
      <c r="H807" s="183"/>
    </row>
    <row r="808" spans="2:8" ht="40.5" customHeight="1" x14ac:dyDescent="0.25">
      <c r="B808" s="179"/>
      <c r="C808" s="118" t="s">
        <v>2971</v>
      </c>
      <c r="D808" s="440">
        <v>200000000</v>
      </c>
      <c r="E808" s="538">
        <v>0</v>
      </c>
      <c r="F808" s="276"/>
      <c r="G808" s="114"/>
      <c r="H808" s="183"/>
    </row>
    <row r="809" spans="2:8" ht="40.5" customHeight="1" x14ac:dyDescent="0.25">
      <c r="B809" s="179"/>
      <c r="C809" s="118" t="s">
        <v>2972</v>
      </c>
      <c r="D809" s="440">
        <v>187000000</v>
      </c>
      <c r="E809" s="538">
        <v>0</v>
      </c>
      <c r="F809" s="276"/>
      <c r="G809" s="114"/>
      <c r="H809" s="183"/>
    </row>
    <row r="810" spans="2:8" ht="40.5" customHeight="1" x14ac:dyDescent="0.25">
      <c r="B810" s="179"/>
      <c r="C810" s="118" t="s">
        <v>2973</v>
      </c>
      <c r="D810" s="440">
        <v>300000000</v>
      </c>
      <c r="E810" s="538">
        <v>0</v>
      </c>
      <c r="F810" s="276"/>
      <c r="G810" s="114"/>
      <c r="H810" s="183"/>
    </row>
    <row r="811" spans="2:8" s="154" customFormat="1" ht="17.25" customHeight="1" x14ac:dyDescent="0.25">
      <c r="B811" s="184"/>
      <c r="C811" s="249" t="s">
        <v>177</v>
      </c>
      <c r="D811" s="441">
        <f>SUM(D812:D815)</f>
        <v>935800000</v>
      </c>
      <c r="E811" s="283">
        <f>+E812+E813+E814+E815+E816+E817+E818+E819+E820</f>
        <v>461910000</v>
      </c>
      <c r="F811" s="297">
        <f t="shared" si="43"/>
        <v>49.359905962812569</v>
      </c>
      <c r="G811" s="114">
        <f t="shared" si="44"/>
        <v>49.359905962812569</v>
      </c>
      <c r="H811" s="188"/>
    </row>
    <row r="812" spans="2:8" ht="40.5" customHeight="1" x14ac:dyDescent="0.25">
      <c r="B812" s="179"/>
      <c r="C812" s="118" t="s">
        <v>2974</v>
      </c>
      <c r="D812" s="440">
        <v>50000000</v>
      </c>
      <c r="E812" s="538">
        <v>0</v>
      </c>
      <c r="F812" s="276"/>
      <c r="G812" s="114"/>
      <c r="H812" s="183"/>
    </row>
    <row r="813" spans="2:8" ht="17.25" customHeight="1" x14ac:dyDescent="0.25">
      <c r="B813" s="179"/>
      <c r="C813" s="118" t="s">
        <v>2975</v>
      </c>
      <c r="D813" s="440">
        <v>585800000</v>
      </c>
      <c r="E813" s="538">
        <v>311910000</v>
      </c>
      <c r="F813" s="276">
        <f t="shared" si="43"/>
        <v>53.245134858313413</v>
      </c>
      <c r="G813" s="114">
        <f t="shared" si="44"/>
        <v>53.245134858313413</v>
      </c>
      <c r="H813" s="183"/>
    </row>
    <row r="814" spans="2:8" ht="17.25" customHeight="1" x14ac:dyDescent="0.25">
      <c r="B814" s="179"/>
      <c r="C814" s="119" t="s">
        <v>2976</v>
      </c>
      <c r="D814" s="440">
        <v>150000000</v>
      </c>
      <c r="E814" s="538">
        <v>0</v>
      </c>
      <c r="F814" s="276"/>
      <c r="G814" s="114"/>
      <c r="H814" s="183"/>
    </row>
    <row r="815" spans="2:8" ht="17.25" customHeight="1" x14ac:dyDescent="0.25">
      <c r="B815" s="179"/>
      <c r="C815" s="119" t="s">
        <v>1724</v>
      </c>
      <c r="D815" s="440">
        <v>150000000</v>
      </c>
      <c r="E815" s="538">
        <v>150000000</v>
      </c>
      <c r="F815" s="276">
        <f t="shared" si="43"/>
        <v>100</v>
      </c>
      <c r="G815" s="114">
        <f t="shared" si="44"/>
        <v>100</v>
      </c>
      <c r="H815" s="183"/>
    </row>
    <row r="816" spans="2:8" s="154" customFormat="1" ht="17.25" customHeight="1" x14ac:dyDescent="0.25">
      <c r="B816" s="184"/>
      <c r="C816" s="249" t="s">
        <v>179</v>
      </c>
      <c r="D816" s="441">
        <f>SUM(D817:D820)</f>
        <v>275000000</v>
      </c>
      <c r="E816" s="283">
        <v>0</v>
      </c>
      <c r="F816" s="297"/>
      <c r="G816" s="114"/>
      <c r="H816" s="188"/>
    </row>
    <row r="817" spans="2:8" ht="17.25" customHeight="1" x14ac:dyDescent="0.25">
      <c r="B817" s="179"/>
      <c r="C817" s="119" t="s">
        <v>2977</v>
      </c>
      <c r="D817" s="440">
        <v>50000000</v>
      </c>
      <c r="E817" s="538">
        <v>0</v>
      </c>
      <c r="F817" s="276"/>
      <c r="G817" s="114"/>
      <c r="H817" s="183"/>
    </row>
    <row r="818" spans="2:8" ht="17.25" customHeight="1" x14ac:dyDescent="0.25">
      <c r="B818" s="179"/>
      <c r="C818" s="119" t="s">
        <v>2978</v>
      </c>
      <c r="D818" s="440">
        <v>75000000</v>
      </c>
      <c r="E818" s="538">
        <v>0</v>
      </c>
      <c r="F818" s="276"/>
      <c r="G818" s="114"/>
      <c r="H818" s="183"/>
    </row>
    <row r="819" spans="2:8" ht="17.25" customHeight="1" x14ac:dyDescent="0.25">
      <c r="B819" s="179"/>
      <c r="C819" s="119" t="s">
        <v>1725</v>
      </c>
      <c r="D819" s="440">
        <v>50000000</v>
      </c>
      <c r="E819" s="538">
        <v>0</v>
      </c>
      <c r="F819" s="276"/>
      <c r="G819" s="114"/>
      <c r="H819" s="183"/>
    </row>
    <row r="820" spans="2:8" ht="17.25" customHeight="1" x14ac:dyDescent="0.25">
      <c r="B820" s="179"/>
      <c r="C820" s="119" t="s">
        <v>2979</v>
      </c>
      <c r="D820" s="440">
        <v>100000000</v>
      </c>
      <c r="E820" s="538">
        <v>0</v>
      </c>
      <c r="F820" s="276"/>
      <c r="G820" s="114"/>
      <c r="H820" s="183"/>
    </row>
    <row r="821" spans="2:8" s="154" customFormat="1" ht="17.25" customHeight="1" x14ac:dyDescent="0.25">
      <c r="B821" s="184"/>
      <c r="C821" s="249" t="s">
        <v>182</v>
      </c>
      <c r="D821" s="441">
        <f>SUM(D822:D833)</f>
        <v>1302000000</v>
      </c>
      <c r="E821" s="283">
        <f>+E822+E823+E824+E825+E826+E827+E828+E829+E830+E831+E832+E833</f>
        <v>701000000</v>
      </c>
      <c r="F821" s="297">
        <f t="shared" ref="F821:F856" si="45">E821/D821*100</f>
        <v>53.840245775729642</v>
      </c>
      <c r="G821" s="114">
        <f t="shared" ref="G821:G856" si="46">+F821</f>
        <v>53.840245775729642</v>
      </c>
      <c r="H821" s="188"/>
    </row>
    <row r="822" spans="2:8" ht="17.25" customHeight="1" x14ac:dyDescent="0.25">
      <c r="B822" s="179"/>
      <c r="C822" s="119" t="s">
        <v>1395</v>
      </c>
      <c r="D822" s="440">
        <v>59440000</v>
      </c>
      <c r="E822" s="538">
        <v>59440000</v>
      </c>
      <c r="F822" s="276">
        <f t="shared" si="45"/>
        <v>100</v>
      </c>
      <c r="G822" s="117">
        <f t="shared" si="46"/>
        <v>100</v>
      </c>
      <c r="H822" s="183"/>
    </row>
    <row r="823" spans="2:8" ht="17.25" customHeight="1" x14ac:dyDescent="0.25">
      <c r="B823" s="179"/>
      <c r="C823" s="119" t="s">
        <v>2980</v>
      </c>
      <c r="D823" s="440">
        <v>120000000</v>
      </c>
      <c r="E823" s="538">
        <v>120000000</v>
      </c>
      <c r="F823" s="276">
        <f t="shared" si="45"/>
        <v>100</v>
      </c>
      <c r="G823" s="117">
        <f t="shared" si="46"/>
        <v>100</v>
      </c>
      <c r="H823" s="183"/>
    </row>
    <row r="824" spans="2:8" ht="17.25" customHeight="1" x14ac:dyDescent="0.25">
      <c r="B824" s="179"/>
      <c r="C824" s="119" t="s">
        <v>2981</v>
      </c>
      <c r="D824" s="440">
        <v>120000000</v>
      </c>
      <c r="E824" s="538">
        <v>0</v>
      </c>
      <c r="F824" s="276"/>
      <c r="G824" s="117">
        <f t="shared" si="46"/>
        <v>0</v>
      </c>
      <c r="H824" s="183"/>
    </row>
    <row r="825" spans="2:8" ht="17.25" customHeight="1" x14ac:dyDescent="0.25">
      <c r="B825" s="179"/>
      <c r="C825" s="119" t="s">
        <v>2982</v>
      </c>
      <c r="D825" s="440">
        <v>120000000</v>
      </c>
      <c r="E825" s="538">
        <v>120000000</v>
      </c>
      <c r="F825" s="276">
        <f t="shared" si="45"/>
        <v>100</v>
      </c>
      <c r="G825" s="117">
        <f t="shared" si="46"/>
        <v>100</v>
      </c>
      <c r="H825" s="183"/>
    </row>
    <row r="826" spans="2:8" ht="40.5" customHeight="1" x14ac:dyDescent="0.25">
      <c r="B826" s="179"/>
      <c r="C826" s="118" t="s">
        <v>2983</v>
      </c>
      <c r="D826" s="440">
        <v>120000000</v>
      </c>
      <c r="E826" s="538">
        <v>0</v>
      </c>
      <c r="F826" s="276"/>
      <c r="G826" s="117">
        <f t="shared" si="46"/>
        <v>0</v>
      </c>
      <c r="H826" s="183"/>
    </row>
    <row r="827" spans="2:8" ht="17.25" customHeight="1" x14ac:dyDescent="0.25">
      <c r="B827" s="179"/>
      <c r="C827" s="119" t="s">
        <v>2984</v>
      </c>
      <c r="D827" s="440">
        <v>68000000</v>
      </c>
      <c r="E827" s="538">
        <v>68000000</v>
      </c>
      <c r="F827" s="276">
        <f t="shared" si="45"/>
        <v>100</v>
      </c>
      <c r="G827" s="117">
        <f t="shared" si="46"/>
        <v>100</v>
      </c>
      <c r="H827" s="183"/>
    </row>
    <row r="828" spans="2:8" ht="17.25" customHeight="1" x14ac:dyDescent="0.25">
      <c r="B828" s="179"/>
      <c r="C828" s="118" t="s">
        <v>2985</v>
      </c>
      <c r="D828" s="440">
        <v>168560000</v>
      </c>
      <c r="E828" s="538">
        <v>168560000</v>
      </c>
      <c r="F828" s="276">
        <f t="shared" si="45"/>
        <v>100</v>
      </c>
      <c r="G828" s="117">
        <f t="shared" si="46"/>
        <v>100</v>
      </c>
      <c r="H828" s="183"/>
    </row>
    <row r="829" spans="2:8" ht="17.25" customHeight="1" x14ac:dyDescent="0.25">
      <c r="B829" s="179"/>
      <c r="C829" s="119" t="s">
        <v>2986</v>
      </c>
      <c r="D829" s="440">
        <v>65000000</v>
      </c>
      <c r="E829" s="538">
        <v>65000000</v>
      </c>
      <c r="F829" s="276">
        <f t="shared" si="45"/>
        <v>100</v>
      </c>
      <c r="G829" s="117">
        <f t="shared" si="46"/>
        <v>100</v>
      </c>
      <c r="H829" s="183"/>
    </row>
    <row r="830" spans="2:8" ht="17.25" customHeight="1" x14ac:dyDescent="0.25">
      <c r="B830" s="179"/>
      <c r="C830" s="118" t="s">
        <v>2987</v>
      </c>
      <c r="D830" s="440">
        <v>136000000</v>
      </c>
      <c r="E830" s="538">
        <v>0</v>
      </c>
      <c r="F830" s="276"/>
      <c r="G830" s="117">
        <f t="shared" si="46"/>
        <v>0</v>
      </c>
      <c r="H830" s="183"/>
    </row>
    <row r="831" spans="2:8" ht="17.25" customHeight="1" x14ac:dyDescent="0.25">
      <c r="B831" s="179"/>
      <c r="C831" s="118" t="s">
        <v>2988</v>
      </c>
      <c r="D831" s="440">
        <v>75000000</v>
      </c>
      <c r="E831" s="538">
        <v>0</v>
      </c>
      <c r="F831" s="276"/>
      <c r="G831" s="117">
        <f t="shared" si="46"/>
        <v>0</v>
      </c>
      <c r="H831" s="183"/>
    </row>
    <row r="832" spans="2:8" ht="40.5" customHeight="1" x14ac:dyDescent="0.25">
      <c r="B832" s="179"/>
      <c r="C832" s="118" t="s">
        <v>2989</v>
      </c>
      <c r="D832" s="440">
        <v>150000000</v>
      </c>
      <c r="E832" s="538">
        <v>0</v>
      </c>
      <c r="F832" s="276"/>
      <c r="G832" s="117">
        <f t="shared" si="46"/>
        <v>0</v>
      </c>
      <c r="H832" s="183"/>
    </row>
    <row r="833" spans="2:8" ht="17.25" customHeight="1" x14ac:dyDescent="0.25">
      <c r="B833" s="179"/>
      <c r="C833" s="119" t="s">
        <v>2990</v>
      </c>
      <c r="D833" s="440">
        <v>100000000</v>
      </c>
      <c r="E833" s="538">
        <v>100000000</v>
      </c>
      <c r="F833" s="276">
        <f t="shared" si="45"/>
        <v>100</v>
      </c>
      <c r="G833" s="117">
        <f t="shared" si="46"/>
        <v>100</v>
      </c>
      <c r="H833" s="183"/>
    </row>
    <row r="834" spans="2:8" s="154" customFormat="1" ht="17.25" customHeight="1" x14ac:dyDescent="0.25">
      <c r="B834" s="184"/>
      <c r="C834" s="249" t="s">
        <v>196</v>
      </c>
      <c r="D834" s="441">
        <f>SUM(D835)</f>
        <v>200000000</v>
      </c>
      <c r="E834" s="283">
        <v>0</v>
      </c>
      <c r="F834" s="297"/>
      <c r="G834" s="114">
        <f t="shared" si="46"/>
        <v>0</v>
      </c>
      <c r="H834" s="188"/>
    </row>
    <row r="835" spans="2:8" ht="17.25" customHeight="1" x14ac:dyDescent="0.25">
      <c r="B835" s="179"/>
      <c r="C835" s="119" t="s">
        <v>1730</v>
      </c>
      <c r="D835" s="440">
        <v>200000000</v>
      </c>
      <c r="E835" s="538">
        <v>0</v>
      </c>
      <c r="F835" s="276"/>
      <c r="G835" s="117">
        <f t="shared" si="46"/>
        <v>0</v>
      </c>
      <c r="H835" s="183"/>
    </row>
    <row r="836" spans="2:8" s="154" customFormat="1" ht="17.25" customHeight="1" x14ac:dyDescent="0.25">
      <c r="B836" s="184"/>
      <c r="C836" s="249" t="s">
        <v>1570</v>
      </c>
      <c r="D836" s="441">
        <f>SUM(D837)</f>
        <v>227216600</v>
      </c>
      <c r="E836" s="283">
        <f>+E837</f>
        <v>100475000</v>
      </c>
      <c r="F836" s="297"/>
      <c r="G836" s="114">
        <f t="shared" si="46"/>
        <v>0</v>
      </c>
      <c r="H836" s="188"/>
    </row>
    <row r="837" spans="2:8" ht="17.25" customHeight="1" x14ac:dyDescent="0.25">
      <c r="B837" s="179"/>
      <c r="C837" s="119" t="s">
        <v>1731</v>
      </c>
      <c r="D837" s="440">
        <v>227216600</v>
      </c>
      <c r="E837" s="538">
        <v>100475000</v>
      </c>
      <c r="F837" s="276">
        <f t="shared" si="45"/>
        <v>44.21992055157942</v>
      </c>
      <c r="G837" s="117">
        <f t="shared" si="46"/>
        <v>44.21992055157942</v>
      </c>
      <c r="H837" s="183"/>
    </row>
    <row r="838" spans="2:8" s="154" customFormat="1" ht="17.25" customHeight="1" x14ac:dyDescent="0.25">
      <c r="B838" s="184"/>
      <c r="C838" s="249" t="s">
        <v>843</v>
      </c>
      <c r="D838" s="441">
        <f>SUM(D839:D842)</f>
        <v>800000000</v>
      </c>
      <c r="E838" s="283">
        <f>SUM(E839:E842)</f>
        <v>650000000</v>
      </c>
      <c r="F838" s="297"/>
      <c r="G838" s="114">
        <f t="shared" si="46"/>
        <v>0</v>
      </c>
      <c r="H838" s="188"/>
    </row>
    <row r="839" spans="2:8" ht="17.25" customHeight="1" x14ac:dyDescent="0.25">
      <c r="B839" s="179"/>
      <c r="C839" s="119" t="s">
        <v>2991</v>
      </c>
      <c r="D839" s="440">
        <v>150000000</v>
      </c>
      <c r="E839" s="538"/>
      <c r="F839" s="276"/>
      <c r="G839" s="117">
        <f t="shared" si="46"/>
        <v>0</v>
      </c>
      <c r="H839" s="183"/>
    </row>
    <row r="840" spans="2:8" ht="17.25" customHeight="1" x14ac:dyDescent="0.25">
      <c r="B840" s="179"/>
      <c r="C840" s="119" t="s">
        <v>2992</v>
      </c>
      <c r="D840" s="440">
        <v>100000000</v>
      </c>
      <c r="E840" s="538">
        <v>100000000</v>
      </c>
      <c r="F840" s="276">
        <f t="shared" si="45"/>
        <v>100</v>
      </c>
      <c r="G840" s="117">
        <f t="shared" si="46"/>
        <v>100</v>
      </c>
      <c r="H840" s="183"/>
    </row>
    <row r="841" spans="2:8" ht="40.5" customHeight="1" x14ac:dyDescent="0.25">
      <c r="B841" s="179"/>
      <c r="C841" s="118" t="s">
        <v>2993</v>
      </c>
      <c r="D841" s="440">
        <v>450000000</v>
      </c>
      <c r="E841" s="538">
        <v>450000000</v>
      </c>
      <c r="F841" s="276">
        <f t="shared" si="45"/>
        <v>100</v>
      </c>
      <c r="G841" s="117">
        <f t="shared" si="46"/>
        <v>100</v>
      </c>
      <c r="H841" s="183"/>
    </row>
    <row r="842" spans="2:8" ht="17.25" customHeight="1" x14ac:dyDescent="0.25">
      <c r="B842" s="179"/>
      <c r="C842" s="119" t="s">
        <v>2994</v>
      </c>
      <c r="D842" s="440">
        <v>100000000</v>
      </c>
      <c r="E842" s="538">
        <v>100000000</v>
      </c>
      <c r="F842" s="276">
        <f t="shared" si="45"/>
        <v>100</v>
      </c>
      <c r="G842" s="117">
        <f t="shared" si="46"/>
        <v>100</v>
      </c>
      <c r="H842" s="183"/>
    </row>
    <row r="843" spans="2:8" ht="17.25" customHeight="1" x14ac:dyDescent="0.25">
      <c r="B843" s="179"/>
      <c r="C843" s="119"/>
      <c r="D843" s="440"/>
      <c r="E843" s="538">
        <v>0</v>
      </c>
      <c r="F843" s="276"/>
      <c r="G843" s="114"/>
      <c r="H843" s="183"/>
    </row>
    <row r="844" spans="2:8" s="154" customFormat="1" ht="17.25" customHeight="1" x14ac:dyDescent="0.25">
      <c r="B844" s="184"/>
      <c r="C844" s="249" t="s">
        <v>847</v>
      </c>
      <c r="D844" s="441">
        <v>6000000000</v>
      </c>
      <c r="E844" s="283">
        <f>+E845+E847+E849+E851+E853+E855</f>
        <v>4755390600</v>
      </c>
      <c r="F844" s="276">
        <f t="shared" si="45"/>
        <v>79.256510000000006</v>
      </c>
      <c r="G844" s="114">
        <f t="shared" si="46"/>
        <v>79.256510000000006</v>
      </c>
      <c r="H844" s="188"/>
    </row>
    <row r="845" spans="2:8" s="154" customFormat="1" ht="17.25" customHeight="1" x14ac:dyDescent="0.25">
      <c r="B845" s="184"/>
      <c r="C845" s="249" t="s">
        <v>825</v>
      </c>
      <c r="D845" s="441">
        <v>335625000</v>
      </c>
      <c r="E845" s="283">
        <f>+E846</f>
        <v>335625000</v>
      </c>
      <c r="F845" s="276">
        <f t="shared" si="45"/>
        <v>100</v>
      </c>
      <c r="G845" s="114">
        <f t="shared" si="46"/>
        <v>100</v>
      </c>
      <c r="H845" s="188"/>
    </row>
    <row r="846" spans="2:8" ht="17.25" customHeight="1" x14ac:dyDescent="0.25">
      <c r="B846" s="179"/>
      <c r="C846" s="119" t="s">
        <v>2995</v>
      </c>
      <c r="D846" s="440">
        <v>335625000</v>
      </c>
      <c r="E846" s="538">
        <v>335625000</v>
      </c>
      <c r="F846" s="276">
        <f t="shared" si="45"/>
        <v>100</v>
      </c>
      <c r="G846" s="117">
        <f t="shared" si="46"/>
        <v>100</v>
      </c>
      <c r="H846" s="183"/>
    </row>
    <row r="847" spans="2:8" s="154" customFormat="1" ht="17.25" customHeight="1" x14ac:dyDescent="0.25">
      <c r="B847" s="184"/>
      <c r="C847" s="249" t="s">
        <v>156</v>
      </c>
      <c r="D847" s="441">
        <v>2000000000</v>
      </c>
      <c r="E847" s="283">
        <f>+E848</f>
        <v>1829804600</v>
      </c>
      <c r="F847" s="297"/>
      <c r="G847" s="114">
        <f t="shared" si="46"/>
        <v>0</v>
      </c>
      <c r="H847" s="188"/>
    </row>
    <row r="848" spans="2:8" ht="17.25" customHeight="1" x14ac:dyDescent="0.25">
      <c r="B848" s="179"/>
      <c r="C848" s="119" t="s">
        <v>1382</v>
      </c>
      <c r="D848" s="440">
        <v>2000000000</v>
      </c>
      <c r="E848" s="538">
        <v>1829804600</v>
      </c>
      <c r="F848" s="276">
        <f t="shared" si="45"/>
        <v>91.490229999999997</v>
      </c>
      <c r="G848" s="117">
        <f t="shared" si="46"/>
        <v>91.490229999999997</v>
      </c>
      <c r="H848" s="183"/>
    </row>
    <row r="849" spans="2:8" s="154" customFormat="1" ht="17.25" customHeight="1" x14ac:dyDescent="0.25">
      <c r="B849" s="184"/>
      <c r="C849" s="249" t="s">
        <v>166</v>
      </c>
      <c r="D849" s="441">
        <v>600000000</v>
      </c>
      <c r="E849" s="283">
        <f>+E850</f>
        <v>430931000</v>
      </c>
      <c r="F849" s="276">
        <f t="shared" si="45"/>
        <v>71.821833333333331</v>
      </c>
      <c r="G849" s="114">
        <f t="shared" si="46"/>
        <v>71.821833333333331</v>
      </c>
      <c r="H849" s="188"/>
    </row>
    <row r="850" spans="2:8" ht="17.25" customHeight="1" x14ac:dyDescent="0.25">
      <c r="B850" s="179"/>
      <c r="C850" s="119" t="s">
        <v>2996</v>
      </c>
      <c r="D850" s="440">
        <v>600000000</v>
      </c>
      <c r="E850" s="538">
        <v>430931000</v>
      </c>
      <c r="F850" s="276">
        <f t="shared" si="45"/>
        <v>71.821833333333331</v>
      </c>
      <c r="G850" s="117">
        <f t="shared" si="46"/>
        <v>71.821833333333331</v>
      </c>
      <c r="H850" s="183"/>
    </row>
    <row r="851" spans="2:8" s="154" customFormat="1" ht="17.25" customHeight="1" x14ac:dyDescent="0.25">
      <c r="B851" s="184"/>
      <c r="C851" s="249" t="s">
        <v>168</v>
      </c>
      <c r="D851" s="441">
        <v>1664375000</v>
      </c>
      <c r="E851" s="283">
        <f>+E852</f>
        <v>1661890000</v>
      </c>
      <c r="F851" s="276">
        <f t="shared" si="45"/>
        <v>99.850694705219681</v>
      </c>
      <c r="G851" s="114">
        <f t="shared" si="46"/>
        <v>99.850694705219681</v>
      </c>
      <c r="H851" s="188"/>
    </row>
    <row r="852" spans="2:8" ht="17.25" customHeight="1" x14ac:dyDescent="0.25">
      <c r="B852" s="179"/>
      <c r="C852" s="119" t="s">
        <v>2997</v>
      </c>
      <c r="D852" s="440">
        <v>1664375000</v>
      </c>
      <c r="E852" s="538">
        <v>1661890000</v>
      </c>
      <c r="F852" s="276">
        <f t="shared" si="45"/>
        <v>99.850694705219681</v>
      </c>
      <c r="G852" s="117">
        <f t="shared" si="46"/>
        <v>99.850694705219681</v>
      </c>
      <c r="H852" s="183"/>
    </row>
    <row r="853" spans="2:8" ht="30" customHeight="1" x14ac:dyDescent="0.25">
      <c r="B853" s="179"/>
      <c r="C853" s="249" t="s">
        <v>2998</v>
      </c>
      <c r="D853" s="441">
        <v>712730000</v>
      </c>
      <c r="E853" s="283">
        <f>+E854</f>
        <v>191590000</v>
      </c>
      <c r="F853" s="297"/>
      <c r="G853" s="114">
        <f t="shared" si="46"/>
        <v>0</v>
      </c>
      <c r="H853" s="183"/>
    </row>
    <row r="854" spans="2:8" ht="17.25" customHeight="1" x14ac:dyDescent="0.25">
      <c r="B854" s="179"/>
      <c r="C854" s="119" t="s">
        <v>2999</v>
      </c>
      <c r="D854" s="440">
        <v>712730000</v>
      </c>
      <c r="E854" s="538">
        <v>191590000</v>
      </c>
      <c r="F854" s="276">
        <f t="shared" si="45"/>
        <v>26.881147138467583</v>
      </c>
      <c r="G854" s="117">
        <f t="shared" si="46"/>
        <v>26.881147138467583</v>
      </c>
      <c r="H854" s="183"/>
    </row>
    <row r="855" spans="2:8" s="154" customFormat="1" ht="17.25" customHeight="1" x14ac:dyDescent="0.25">
      <c r="B855" s="184"/>
      <c r="C855" s="249" t="s">
        <v>3000</v>
      </c>
      <c r="D855" s="441">
        <v>687270000</v>
      </c>
      <c r="E855" s="283">
        <f>+E856</f>
        <v>305550000</v>
      </c>
      <c r="F855" s="297">
        <f t="shared" si="45"/>
        <v>44.458509755991095</v>
      </c>
      <c r="G855" s="114">
        <f t="shared" si="46"/>
        <v>44.458509755991095</v>
      </c>
      <c r="H855" s="188"/>
    </row>
    <row r="856" spans="2:8" ht="18.75" customHeight="1" x14ac:dyDescent="0.25">
      <c r="B856" s="179"/>
      <c r="C856" s="118" t="s">
        <v>3001</v>
      </c>
      <c r="D856" s="440">
        <v>687270000</v>
      </c>
      <c r="E856" s="538">
        <v>305550000</v>
      </c>
      <c r="F856" s="276">
        <f t="shared" si="45"/>
        <v>44.458509755991095</v>
      </c>
      <c r="G856" s="117">
        <f t="shared" si="46"/>
        <v>44.458509755991095</v>
      </c>
      <c r="H856" s="183"/>
    </row>
    <row r="857" spans="2:8" ht="17.25" customHeight="1" x14ac:dyDescent="0.25">
      <c r="B857" s="179"/>
      <c r="C857" s="196"/>
      <c r="D857" s="107"/>
      <c r="E857" s="717"/>
      <c r="F857" s="195"/>
      <c r="G857" s="114"/>
      <c r="H857" s="183"/>
    </row>
    <row r="858" spans="2:8" s="154" customFormat="1" ht="40.5" customHeight="1" x14ac:dyDescent="0.25">
      <c r="B858" s="184"/>
      <c r="C858" s="681" t="s">
        <v>4036</v>
      </c>
      <c r="D858" s="120">
        <f>D859</f>
        <v>1412806000</v>
      </c>
      <c r="E858" s="199">
        <f>+E859</f>
        <v>969806000</v>
      </c>
      <c r="F858" s="195">
        <f>+E858/D858*100</f>
        <v>68.643961025080586</v>
      </c>
      <c r="G858" s="114">
        <v>54.439801501409249</v>
      </c>
      <c r="H858" s="188"/>
    </row>
    <row r="859" spans="2:8" s="154" customFormat="1" ht="17.25" customHeight="1" x14ac:dyDescent="0.25">
      <c r="B859" s="184"/>
      <c r="C859" s="249" t="s">
        <v>298</v>
      </c>
      <c r="D859" s="441">
        <v>1412806000</v>
      </c>
      <c r="E859" s="283">
        <f>+E860</f>
        <v>969806000</v>
      </c>
      <c r="F859" s="297">
        <f t="shared" ref="F859:F863" si="47">E859/D859*100</f>
        <v>68.643961025080586</v>
      </c>
      <c r="G859" s="114">
        <f t="shared" ref="G859:G863" si="48">+F859</f>
        <v>68.643961025080586</v>
      </c>
      <c r="H859" s="188"/>
    </row>
    <row r="860" spans="2:8" s="154" customFormat="1" ht="17.25" customHeight="1" x14ac:dyDescent="0.25">
      <c r="B860" s="184"/>
      <c r="C860" s="249" t="s">
        <v>744</v>
      </c>
      <c r="D860" s="441">
        <f>SUM(D861:D863)</f>
        <v>1412806000</v>
      </c>
      <c r="E860" s="283">
        <f>+E861+E862+E863</f>
        <v>969806000</v>
      </c>
      <c r="F860" s="297">
        <f t="shared" si="47"/>
        <v>68.643961025080586</v>
      </c>
      <c r="G860" s="114">
        <f t="shared" si="48"/>
        <v>68.643961025080586</v>
      </c>
      <c r="H860" s="188"/>
    </row>
    <row r="861" spans="2:8" ht="17.25" customHeight="1" x14ac:dyDescent="0.25">
      <c r="B861" s="179"/>
      <c r="C861" s="119" t="s">
        <v>3020</v>
      </c>
      <c r="D861" s="440">
        <v>622000000</v>
      </c>
      <c r="E861" s="538">
        <v>479000000</v>
      </c>
      <c r="F861" s="276">
        <f t="shared" si="47"/>
        <v>77.0096463022508</v>
      </c>
      <c r="G861" s="117">
        <f t="shared" si="48"/>
        <v>77.0096463022508</v>
      </c>
      <c r="H861" s="183"/>
    </row>
    <row r="862" spans="2:8" ht="17.25" customHeight="1" x14ac:dyDescent="0.25">
      <c r="B862" s="179"/>
      <c r="C862" s="119" t="s">
        <v>3021</v>
      </c>
      <c r="D862" s="440">
        <v>300000000</v>
      </c>
      <c r="E862" s="538">
        <v>0</v>
      </c>
      <c r="F862" s="276"/>
      <c r="G862" s="117">
        <f t="shared" si="48"/>
        <v>0</v>
      </c>
      <c r="H862" s="183"/>
    </row>
    <row r="863" spans="2:8" ht="17.25" customHeight="1" x14ac:dyDescent="0.25">
      <c r="B863" s="179"/>
      <c r="C863" s="119" t="s">
        <v>748</v>
      </c>
      <c r="D863" s="440">
        <v>490806000</v>
      </c>
      <c r="E863" s="538">
        <v>490806000</v>
      </c>
      <c r="F863" s="276">
        <f t="shared" si="47"/>
        <v>100</v>
      </c>
      <c r="G863" s="117">
        <f t="shared" si="48"/>
        <v>100</v>
      </c>
      <c r="H863" s="183"/>
    </row>
    <row r="864" spans="2:8" ht="17.25" customHeight="1" x14ac:dyDescent="0.25">
      <c r="B864" s="179"/>
      <c r="C864" s="196"/>
      <c r="D864" s="120"/>
      <c r="E864" s="199"/>
      <c r="F864" s="195"/>
      <c r="G864" s="114"/>
      <c r="H864" s="183"/>
    </row>
    <row r="865" spans="2:8" ht="17.25" customHeight="1" x14ac:dyDescent="0.25">
      <c r="B865" s="179">
        <v>20</v>
      </c>
      <c r="C865" s="718" t="s">
        <v>3081</v>
      </c>
      <c r="D865" s="120">
        <f>D866</f>
        <v>15090584250</v>
      </c>
      <c r="E865" s="199">
        <f>E866</f>
        <v>15014245300</v>
      </c>
      <c r="F865" s="195">
        <f>(E865/D865)*100</f>
        <v>99.494128598765158</v>
      </c>
      <c r="G865" s="114">
        <f>G866</f>
        <v>99.494128598765158</v>
      </c>
      <c r="H865" s="188"/>
    </row>
    <row r="866" spans="2:8" ht="17.25" customHeight="1" x14ac:dyDescent="0.25">
      <c r="B866" s="179"/>
      <c r="C866" s="718" t="s">
        <v>150</v>
      </c>
      <c r="D866" s="112">
        <v>15090584250</v>
      </c>
      <c r="E866" s="541">
        <f>E867+E869+E873+E875+E881+E884+E886+E889+E891+E893</f>
        <v>15014245300</v>
      </c>
      <c r="F866" s="719">
        <f t="shared" ref="F866:F894" si="49">E866/D866*100</f>
        <v>99.494128598765158</v>
      </c>
      <c r="G866" s="110">
        <v>99.494128598765158</v>
      </c>
      <c r="H866" s="183"/>
    </row>
    <row r="867" spans="2:8" ht="17.25" customHeight="1" x14ac:dyDescent="0.25">
      <c r="B867" s="179"/>
      <c r="C867" s="718" t="s">
        <v>3102</v>
      </c>
      <c r="D867" s="112">
        <v>1354975200</v>
      </c>
      <c r="E867" s="541">
        <f>E868</f>
        <v>1343100000</v>
      </c>
      <c r="F867" s="719">
        <f t="shared" si="49"/>
        <v>99.123585435364419</v>
      </c>
      <c r="G867" s="110">
        <v>99.123585435364419</v>
      </c>
      <c r="H867" s="183"/>
    </row>
    <row r="868" spans="2:8" ht="17.25" customHeight="1" x14ac:dyDescent="0.25">
      <c r="B868" s="179"/>
      <c r="C868" s="720" t="s">
        <v>3103</v>
      </c>
      <c r="D868" s="172">
        <v>1354975200</v>
      </c>
      <c r="E868" s="544">
        <v>1343100000</v>
      </c>
      <c r="F868" s="721">
        <f t="shared" si="49"/>
        <v>99.123585435364419</v>
      </c>
      <c r="G868" s="235">
        <v>99.123585435364419</v>
      </c>
      <c r="H868" s="183"/>
    </row>
    <row r="869" spans="2:8" ht="17.25" customHeight="1" x14ac:dyDescent="0.25">
      <c r="B869" s="179"/>
      <c r="C869" s="718" t="s">
        <v>166</v>
      </c>
      <c r="D869" s="112">
        <v>8133146300</v>
      </c>
      <c r="E869" s="541">
        <f>SUM(E870:E872)</f>
        <v>8133046300</v>
      </c>
      <c r="F869" s="719">
        <f t="shared" si="49"/>
        <v>99.99877046352897</v>
      </c>
      <c r="G869" s="110">
        <v>99.99877046352897</v>
      </c>
      <c r="H869" s="183"/>
    </row>
    <row r="870" spans="2:8" ht="17.25" customHeight="1" x14ac:dyDescent="0.25">
      <c r="B870" s="179"/>
      <c r="C870" s="720" t="s">
        <v>1719</v>
      </c>
      <c r="D870" s="197">
        <v>282600000</v>
      </c>
      <c r="E870" s="544">
        <v>282500000</v>
      </c>
      <c r="F870" s="721">
        <f t="shared" si="49"/>
        <v>99.964614295824489</v>
      </c>
      <c r="G870" s="235">
        <v>99.964614295824489</v>
      </c>
      <c r="H870" s="183"/>
    </row>
    <row r="871" spans="2:8" ht="17.25" customHeight="1" x14ac:dyDescent="0.25">
      <c r="B871" s="179"/>
      <c r="C871" s="720" t="s">
        <v>3104</v>
      </c>
      <c r="D871" s="197">
        <v>5838764300</v>
      </c>
      <c r="E871" s="544">
        <v>5838764300</v>
      </c>
      <c r="F871" s="721">
        <f t="shared" si="49"/>
        <v>100</v>
      </c>
      <c r="G871" s="235">
        <v>100</v>
      </c>
      <c r="H871" s="183"/>
    </row>
    <row r="872" spans="2:8" ht="17.25" customHeight="1" x14ac:dyDescent="0.25">
      <c r="B872" s="179"/>
      <c r="C872" s="720" t="s">
        <v>3105</v>
      </c>
      <c r="D872" s="197">
        <v>2011782000</v>
      </c>
      <c r="E872" s="544">
        <v>2011782000</v>
      </c>
      <c r="F872" s="721">
        <f t="shared" si="49"/>
        <v>100</v>
      </c>
      <c r="G872" s="235">
        <v>100</v>
      </c>
      <c r="H872" s="183"/>
    </row>
    <row r="873" spans="2:8" ht="17.25" customHeight="1" x14ac:dyDescent="0.25">
      <c r="B873" s="179"/>
      <c r="C873" s="718" t="s">
        <v>3106</v>
      </c>
      <c r="D873" s="112">
        <v>59500000</v>
      </c>
      <c r="E873" s="541">
        <f>E874</f>
        <v>59500000</v>
      </c>
      <c r="F873" s="719">
        <f t="shared" si="49"/>
        <v>100</v>
      </c>
      <c r="G873" s="110">
        <v>100</v>
      </c>
      <c r="H873" s="183"/>
    </row>
    <row r="874" spans="2:8" ht="17.25" customHeight="1" x14ac:dyDescent="0.25">
      <c r="B874" s="179"/>
      <c r="C874" s="720" t="s">
        <v>3107</v>
      </c>
      <c r="D874" s="172">
        <v>59500000</v>
      </c>
      <c r="E874" s="544">
        <v>59500000</v>
      </c>
      <c r="F874" s="721">
        <f t="shared" si="49"/>
        <v>100</v>
      </c>
      <c r="G874" s="235">
        <v>100</v>
      </c>
      <c r="H874" s="183"/>
    </row>
    <row r="875" spans="2:8" ht="17.25" customHeight="1" x14ac:dyDescent="0.25">
      <c r="B875" s="179"/>
      <c r="C875" s="718" t="s">
        <v>3108</v>
      </c>
      <c r="D875" s="112">
        <v>300000000</v>
      </c>
      <c r="E875" s="541">
        <f>SUM(E876:E880)</f>
        <v>300000000</v>
      </c>
      <c r="F875" s="719">
        <f t="shared" si="49"/>
        <v>100</v>
      </c>
      <c r="G875" s="110">
        <v>100</v>
      </c>
      <c r="H875" s="183"/>
    </row>
    <row r="876" spans="2:8" ht="17.25" customHeight="1" x14ac:dyDescent="0.25">
      <c r="B876" s="179"/>
      <c r="C876" s="720" t="s">
        <v>3109</v>
      </c>
      <c r="D876" s="197">
        <v>60000000</v>
      </c>
      <c r="E876" s="544">
        <v>60000000</v>
      </c>
      <c r="F876" s="721">
        <f t="shared" si="49"/>
        <v>100</v>
      </c>
      <c r="G876" s="235">
        <v>100</v>
      </c>
      <c r="H876" s="183"/>
    </row>
    <row r="877" spans="2:8" ht="17.25" customHeight="1" x14ac:dyDescent="0.25">
      <c r="B877" s="179"/>
      <c r="C877" s="720" t="s">
        <v>3110</v>
      </c>
      <c r="D877" s="197">
        <v>60000000</v>
      </c>
      <c r="E877" s="544">
        <v>60000000</v>
      </c>
      <c r="F877" s="721">
        <f t="shared" si="49"/>
        <v>100</v>
      </c>
      <c r="G877" s="235">
        <v>100</v>
      </c>
      <c r="H877" s="183"/>
    </row>
    <row r="878" spans="2:8" ht="17.25" customHeight="1" x14ac:dyDescent="0.25">
      <c r="B878" s="179"/>
      <c r="C878" s="720" t="s">
        <v>3111</v>
      </c>
      <c r="D878" s="197">
        <v>60000000</v>
      </c>
      <c r="E878" s="544">
        <v>60000000</v>
      </c>
      <c r="F878" s="721">
        <f t="shared" si="49"/>
        <v>100</v>
      </c>
      <c r="G878" s="235">
        <v>100</v>
      </c>
      <c r="H878" s="183"/>
    </row>
    <row r="879" spans="2:8" ht="40.5" customHeight="1" x14ac:dyDescent="0.25">
      <c r="B879" s="179"/>
      <c r="C879" s="722" t="s">
        <v>3112</v>
      </c>
      <c r="D879" s="197">
        <v>60000000</v>
      </c>
      <c r="E879" s="543">
        <v>60000000</v>
      </c>
      <c r="F879" s="721">
        <f t="shared" si="49"/>
        <v>100</v>
      </c>
      <c r="G879" s="235">
        <v>100</v>
      </c>
      <c r="H879" s="183"/>
    </row>
    <row r="880" spans="2:8" ht="17.25" customHeight="1" x14ac:dyDescent="0.25">
      <c r="B880" s="179"/>
      <c r="C880" s="720" t="s">
        <v>3113</v>
      </c>
      <c r="D880" s="197">
        <v>60000000</v>
      </c>
      <c r="E880" s="544">
        <v>60000000</v>
      </c>
      <c r="F880" s="721">
        <f t="shared" si="49"/>
        <v>100</v>
      </c>
      <c r="G880" s="235">
        <v>100</v>
      </c>
      <c r="H880" s="183"/>
    </row>
    <row r="881" spans="2:8" ht="17.25" customHeight="1" x14ac:dyDescent="0.25">
      <c r="B881" s="179"/>
      <c r="C881" s="718" t="s">
        <v>3114</v>
      </c>
      <c r="D881" s="120">
        <v>114000000</v>
      </c>
      <c r="E881" s="723">
        <f>E882+E883</f>
        <v>114000000</v>
      </c>
      <c r="F881" s="719">
        <f t="shared" si="49"/>
        <v>100</v>
      </c>
      <c r="G881" s="110">
        <v>100</v>
      </c>
      <c r="H881" s="183"/>
    </row>
    <row r="882" spans="2:8" ht="17.25" customHeight="1" x14ac:dyDescent="0.25">
      <c r="B882" s="179"/>
      <c r="C882" s="720" t="s">
        <v>3115</v>
      </c>
      <c r="D882" s="172">
        <v>40000000</v>
      </c>
      <c r="E882" s="543">
        <v>40000000</v>
      </c>
      <c r="F882" s="721">
        <f t="shared" si="49"/>
        <v>100</v>
      </c>
      <c r="G882" s="235">
        <v>100</v>
      </c>
      <c r="H882" s="183"/>
    </row>
    <row r="883" spans="2:8" ht="17.25" customHeight="1" x14ac:dyDescent="0.25">
      <c r="B883" s="179"/>
      <c r="C883" s="720" t="s">
        <v>2093</v>
      </c>
      <c r="D883" s="172">
        <v>74000000</v>
      </c>
      <c r="E883" s="544">
        <v>74000000</v>
      </c>
      <c r="F883" s="721">
        <f t="shared" si="49"/>
        <v>100</v>
      </c>
      <c r="G883" s="235">
        <v>100</v>
      </c>
      <c r="H883" s="183"/>
    </row>
    <row r="884" spans="2:8" ht="17.25" customHeight="1" x14ac:dyDescent="0.25">
      <c r="B884" s="179"/>
      <c r="C884" s="718" t="s">
        <v>3116</v>
      </c>
      <c r="D884" s="112">
        <v>150462750</v>
      </c>
      <c r="E884" s="541">
        <f>E885</f>
        <v>150000000</v>
      </c>
      <c r="F884" s="719">
        <f t="shared" si="49"/>
        <v>99.692448795465978</v>
      </c>
      <c r="G884" s="110">
        <v>99.692448795465978</v>
      </c>
      <c r="H884" s="183"/>
    </row>
    <row r="885" spans="2:8" ht="30.75" customHeight="1" x14ac:dyDescent="0.25">
      <c r="B885" s="179"/>
      <c r="C885" s="722" t="s">
        <v>3117</v>
      </c>
      <c r="D885" s="172">
        <v>150462750</v>
      </c>
      <c r="E885" s="543">
        <v>150000000</v>
      </c>
      <c r="F885" s="721">
        <f t="shared" si="49"/>
        <v>99.692448795465978</v>
      </c>
      <c r="G885" s="235">
        <v>99.692448795465978</v>
      </c>
      <c r="H885" s="183"/>
    </row>
    <row r="886" spans="2:8" ht="30.75" customHeight="1" x14ac:dyDescent="0.25">
      <c r="B886" s="179"/>
      <c r="C886" s="724" t="s">
        <v>3118</v>
      </c>
      <c r="D886" s="112">
        <v>1800000000</v>
      </c>
      <c r="E886" s="541">
        <f>SUM(E887:E888)</f>
        <v>1736099000</v>
      </c>
      <c r="F886" s="719">
        <f t="shared" si="49"/>
        <v>96.449944444444441</v>
      </c>
      <c r="G886" s="110">
        <v>96.449944444444441</v>
      </c>
      <c r="H886" s="183"/>
    </row>
    <row r="887" spans="2:8" ht="17.25" customHeight="1" x14ac:dyDescent="0.25">
      <c r="B887" s="179"/>
      <c r="C887" s="720" t="s">
        <v>2821</v>
      </c>
      <c r="D887" s="172">
        <v>800000000</v>
      </c>
      <c r="E887" s="543">
        <v>772222000</v>
      </c>
      <c r="F887" s="721">
        <f t="shared" si="49"/>
        <v>96.527749999999997</v>
      </c>
      <c r="G887" s="235">
        <v>96.527749999999997</v>
      </c>
      <c r="H887" s="183"/>
    </row>
    <row r="888" spans="2:8" ht="17.25" customHeight="1" x14ac:dyDescent="0.25">
      <c r="B888" s="179"/>
      <c r="C888" s="720" t="s">
        <v>3119</v>
      </c>
      <c r="D888" s="172">
        <v>1000000000</v>
      </c>
      <c r="E888" s="543">
        <v>963877000</v>
      </c>
      <c r="F888" s="721">
        <f t="shared" si="49"/>
        <v>96.387699999999995</v>
      </c>
      <c r="G888" s="235">
        <v>96.387699999999995</v>
      </c>
      <c r="H888" s="183"/>
    </row>
    <row r="889" spans="2:8" ht="17.25" customHeight="1" x14ac:dyDescent="0.25">
      <c r="B889" s="179"/>
      <c r="C889" s="718" t="s">
        <v>3120</v>
      </c>
      <c r="D889" s="112">
        <v>50000000</v>
      </c>
      <c r="E889" s="541">
        <f>E890</f>
        <v>50000000</v>
      </c>
      <c r="F889" s="719">
        <f t="shared" si="49"/>
        <v>100</v>
      </c>
      <c r="G889" s="110">
        <v>100</v>
      </c>
      <c r="H889" s="183"/>
    </row>
    <row r="890" spans="2:8" ht="17.25" customHeight="1" x14ac:dyDescent="0.25">
      <c r="B890" s="179"/>
      <c r="C890" s="720" t="s">
        <v>1731</v>
      </c>
      <c r="D890" s="172">
        <v>50000000</v>
      </c>
      <c r="E890" s="543">
        <v>50000000</v>
      </c>
      <c r="F890" s="721">
        <f t="shared" si="49"/>
        <v>100</v>
      </c>
      <c r="G890" s="235">
        <v>100</v>
      </c>
      <c r="H890" s="183"/>
    </row>
    <row r="891" spans="2:8" ht="17.25" customHeight="1" x14ac:dyDescent="0.25">
      <c r="B891" s="179"/>
      <c r="C891" s="718" t="s">
        <v>2099</v>
      </c>
      <c r="D891" s="112">
        <v>1528500000</v>
      </c>
      <c r="E891" s="541">
        <f>E892</f>
        <v>1528500000</v>
      </c>
      <c r="F891" s="719">
        <f t="shared" si="49"/>
        <v>100</v>
      </c>
      <c r="G891" s="110">
        <v>100</v>
      </c>
      <c r="H891" s="183"/>
    </row>
    <row r="892" spans="2:8" ht="17.25" customHeight="1" x14ac:dyDescent="0.25">
      <c r="B892" s="179"/>
      <c r="C892" s="720" t="s">
        <v>2823</v>
      </c>
      <c r="D892" s="172">
        <v>1528500000</v>
      </c>
      <c r="E892" s="544">
        <v>1528500000</v>
      </c>
      <c r="F892" s="721">
        <f t="shared" si="49"/>
        <v>100</v>
      </c>
      <c r="G892" s="235">
        <v>100</v>
      </c>
      <c r="H892" s="183"/>
    </row>
    <row r="893" spans="2:8" ht="17.25" customHeight="1" x14ac:dyDescent="0.25">
      <c r="B893" s="179"/>
      <c r="C893" s="718" t="s">
        <v>3121</v>
      </c>
      <c r="D893" s="112">
        <v>1600000000</v>
      </c>
      <c r="E893" s="541">
        <f>E894</f>
        <v>1600000000</v>
      </c>
      <c r="F893" s="719">
        <f t="shared" si="49"/>
        <v>100</v>
      </c>
      <c r="G893" s="110">
        <v>100</v>
      </c>
      <c r="H893" s="183"/>
    </row>
    <row r="894" spans="2:8" ht="17.25" customHeight="1" x14ac:dyDescent="0.25">
      <c r="B894" s="179"/>
      <c r="C894" s="720" t="s">
        <v>2826</v>
      </c>
      <c r="D894" s="172">
        <v>1600000000</v>
      </c>
      <c r="E894" s="544">
        <v>1600000000</v>
      </c>
      <c r="F894" s="721">
        <f t="shared" si="49"/>
        <v>100</v>
      </c>
      <c r="G894" s="235">
        <v>100</v>
      </c>
      <c r="H894" s="183"/>
    </row>
    <row r="895" spans="2:8" ht="17.25" customHeight="1" x14ac:dyDescent="0.25">
      <c r="B895" s="179"/>
      <c r="C895" s="196"/>
      <c r="D895" s="112"/>
      <c r="E895" s="116"/>
      <c r="F895" s="116"/>
      <c r="G895" s="117"/>
      <c r="H895" s="183"/>
    </row>
    <row r="896" spans="2:8" ht="17.25" customHeight="1" x14ac:dyDescent="0.25">
      <c r="B896" s="179">
        <v>21</v>
      </c>
      <c r="C896" s="328" t="s">
        <v>3180</v>
      </c>
      <c r="D896" s="185">
        <f>D897</f>
        <v>15988669350</v>
      </c>
      <c r="E896" s="185">
        <f>E897</f>
        <v>15267669350</v>
      </c>
      <c r="F896" s="186">
        <f>(E896/D896)*100</f>
        <v>95.490556567172987</v>
      </c>
      <c r="G896" s="114">
        <f>G897</f>
        <v>95.490556567172987</v>
      </c>
      <c r="H896" s="183"/>
    </row>
    <row r="897" spans="2:8" ht="17.25" customHeight="1" x14ac:dyDescent="0.25">
      <c r="B897" s="179"/>
      <c r="C897" s="180" t="s">
        <v>150</v>
      </c>
      <c r="D897" s="112">
        <f>+D898+D900+D904+D906+D908+D911+D914+D916</f>
        <v>15988669350</v>
      </c>
      <c r="E897" s="725">
        <f>E898+E900+E904+E906+E908+E911+E914+E916</f>
        <v>15267669350</v>
      </c>
      <c r="F897" s="716">
        <f t="shared" ref="F897:F918" si="50">E897/D897*100</f>
        <v>95.490556567172987</v>
      </c>
      <c r="G897" s="331">
        <f t="shared" ref="G897:G918" si="51">E897/D897*100</f>
        <v>95.490556567172987</v>
      </c>
      <c r="H897" s="183"/>
    </row>
    <row r="898" spans="2:8" ht="17.25" customHeight="1" x14ac:dyDescent="0.25">
      <c r="B898" s="179"/>
      <c r="C898" s="180" t="s">
        <v>156</v>
      </c>
      <c r="D898" s="112">
        <f>+D899</f>
        <v>1541200000</v>
      </c>
      <c r="E898" s="639">
        <f>E899</f>
        <v>1541200000</v>
      </c>
      <c r="F898" s="716">
        <f t="shared" si="50"/>
        <v>100</v>
      </c>
      <c r="G898" s="331">
        <f t="shared" si="51"/>
        <v>100</v>
      </c>
      <c r="H898" s="183"/>
    </row>
    <row r="899" spans="2:8" ht="17.25" customHeight="1" x14ac:dyDescent="0.25">
      <c r="B899" s="179"/>
      <c r="C899" s="674" t="s">
        <v>3194</v>
      </c>
      <c r="D899" s="172">
        <v>1541200000</v>
      </c>
      <c r="E899" s="583">
        <v>1541200000</v>
      </c>
      <c r="F899" s="583">
        <f t="shared" si="50"/>
        <v>100</v>
      </c>
      <c r="G899" s="365">
        <f t="shared" si="51"/>
        <v>100</v>
      </c>
      <c r="H899" s="183"/>
    </row>
    <row r="900" spans="2:8" ht="17.25" customHeight="1" x14ac:dyDescent="0.25">
      <c r="B900" s="179"/>
      <c r="C900" s="180" t="s">
        <v>166</v>
      </c>
      <c r="D900" s="112">
        <f>+D901+D902+D903</f>
        <v>2483433396</v>
      </c>
      <c r="E900" s="716">
        <f>SUM(E901:E903)</f>
        <v>2483433396</v>
      </c>
      <c r="F900" s="716">
        <f t="shared" si="50"/>
        <v>100</v>
      </c>
      <c r="G900" s="331">
        <f t="shared" si="51"/>
        <v>100</v>
      </c>
      <c r="H900" s="183"/>
    </row>
    <row r="901" spans="2:8" ht="17.25" customHeight="1" x14ac:dyDescent="0.25">
      <c r="B901" s="179"/>
      <c r="C901" s="674" t="s">
        <v>700</v>
      </c>
      <c r="D901" s="172">
        <v>975000000</v>
      </c>
      <c r="E901" s="583">
        <v>975000000</v>
      </c>
      <c r="F901" s="583">
        <f t="shared" si="50"/>
        <v>100</v>
      </c>
      <c r="G901" s="365">
        <f t="shared" si="51"/>
        <v>100</v>
      </c>
      <c r="H901" s="183"/>
    </row>
    <row r="902" spans="2:8" ht="17.25" customHeight="1" x14ac:dyDescent="0.25">
      <c r="B902" s="179"/>
      <c r="C902" s="674" t="s">
        <v>3195</v>
      </c>
      <c r="D902" s="172">
        <v>308433396</v>
      </c>
      <c r="E902" s="583">
        <v>308433396</v>
      </c>
      <c r="F902" s="583">
        <f t="shared" si="50"/>
        <v>100</v>
      </c>
      <c r="G902" s="365">
        <f t="shared" si="51"/>
        <v>100</v>
      </c>
      <c r="H902" s="183"/>
    </row>
    <row r="903" spans="2:8" ht="17.25" customHeight="1" x14ac:dyDescent="0.25">
      <c r="B903" s="179"/>
      <c r="C903" s="674" t="s">
        <v>3196</v>
      </c>
      <c r="D903" s="172">
        <v>1200000000</v>
      </c>
      <c r="E903" s="583">
        <v>1200000000</v>
      </c>
      <c r="F903" s="583">
        <f t="shared" si="50"/>
        <v>100</v>
      </c>
      <c r="G903" s="365">
        <f t="shared" si="51"/>
        <v>100</v>
      </c>
      <c r="H903" s="183"/>
    </row>
    <row r="904" spans="2:8" ht="17.25" customHeight="1" x14ac:dyDescent="0.25">
      <c r="B904" s="179"/>
      <c r="C904" s="180" t="s">
        <v>177</v>
      </c>
      <c r="D904" s="112">
        <f>+D905</f>
        <v>700000000</v>
      </c>
      <c r="E904" s="716">
        <f>E905</f>
        <v>700000000</v>
      </c>
      <c r="F904" s="716">
        <f t="shared" si="50"/>
        <v>100</v>
      </c>
      <c r="G904" s="331">
        <f t="shared" si="51"/>
        <v>100</v>
      </c>
      <c r="H904" s="183"/>
    </row>
    <row r="905" spans="2:8" ht="17.25" customHeight="1" x14ac:dyDescent="0.25">
      <c r="B905" s="179"/>
      <c r="C905" s="674" t="s">
        <v>1033</v>
      </c>
      <c r="D905" s="172">
        <v>700000000</v>
      </c>
      <c r="E905" s="583">
        <v>700000000</v>
      </c>
      <c r="F905" s="583">
        <f t="shared" si="50"/>
        <v>100</v>
      </c>
      <c r="G905" s="365">
        <f t="shared" si="51"/>
        <v>100</v>
      </c>
      <c r="H905" s="183"/>
    </row>
    <row r="906" spans="2:8" ht="17.25" customHeight="1" x14ac:dyDescent="0.25">
      <c r="B906" s="179"/>
      <c r="C906" s="180" t="s">
        <v>182</v>
      </c>
      <c r="D906" s="112">
        <f>+D907</f>
        <v>1104500000</v>
      </c>
      <c r="E906" s="716">
        <f>E907</f>
        <v>1104500000</v>
      </c>
      <c r="F906" s="716">
        <f t="shared" si="50"/>
        <v>100</v>
      </c>
      <c r="G906" s="331">
        <f t="shared" si="51"/>
        <v>100</v>
      </c>
      <c r="H906" s="183"/>
    </row>
    <row r="907" spans="2:8" ht="17.25" customHeight="1" x14ac:dyDescent="0.25">
      <c r="B907" s="179"/>
      <c r="C907" s="674" t="s">
        <v>3197</v>
      </c>
      <c r="D907" s="172">
        <v>1104500000</v>
      </c>
      <c r="E907" s="583">
        <v>1104500000</v>
      </c>
      <c r="F907" s="583">
        <f t="shared" si="50"/>
        <v>100</v>
      </c>
      <c r="G907" s="365">
        <f t="shared" si="51"/>
        <v>100</v>
      </c>
      <c r="H907" s="183"/>
    </row>
    <row r="908" spans="2:8" ht="31.5" customHeight="1" x14ac:dyDescent="0.25">
      <c r="B908" s="179"/>
      <c r="C908" s="706" t="s">
        <v>3198</v>
      </c>
      <c r="D908" s="330">
        <f>+D909+D910</f>
        <v>1979450000</v>
      </c>
      <c r="E908" s="716">
        <f>SUM(E909:E910)</f>
        <v>1894450000</v>
      </c>
      <c r="F908" s="716">
        <f t="shared" si="50"/>
        <v>95.705877895374982</v>
      </c>
      <c r="G908" s="331">
        <f t="shared" si="51"/>
        <v>95.705877895374982</v>
      </c>
      <c r="H908" s="183"/>
    </row>
    <row r="909" spans="2:8" ht="17.25" customHeight="1" x14ac:dyDescent="0.25">
      <c r="B909" s="179"/>
      <c r="C909" s="674" t="s">
        <v>1042</v>
      </c>
      <c r="D909" s="172">
        <v>1200000000</v>
      </c>
      <c r="E909" s="583">
        <v>1115000000</v>
      </c>
      <c r="F909" s="583">
        <f t="shared" si="50"/>
        <v>92.916666666666671</v>
      </c>
      <c r="G909" s="365">
        <f t="shared" si="51"/>
        <v>92.916666666666671</v>
      </c>
      <c r="H909" s="183"/>
    </row>
    <row r="910" spans="2:8" ht="17.25" customHeight="1" x14ac:dyDescent="0.25">
      <c r="B910" s="179"/>
      <c r="C910" s="674" t="s">
        <v>3199</v>
      </c>
      <c r="D910" s="172">
        <v>779450000</v>
      </c>
      <c r="E910" s="583">
        <v>779450000</v>
      </c>
      <c r="F910" s="583">
        <f t="shared" si="50"/>
        <v>100</v>
      </c>
      <c r="G910" s="365">
        <f t="shared" si="51"/>
        <v>100</v>
      </c>
      <c r="H910" s="183"/>
    </row>
    <row r="911" spans="2:8" ht="17.25" customHeight="1" x14ac:dyDescent="0.25">
      <c r="B911" s="179"/>
      <c r="C911" s="180" t="s">
        <v>196</v>
      </c>
      <c r="D911" s="112">
        <f>+D912+D913</f>
        <v>1584665182</v>
      </c>
      <c r="E911" s="716">
        <f>SUM(E912:E913)</f>
        <v>1584665182</v>
      </c>
      <c r="F911" s="716">
        <f t="shared" si="50"/>
        <v>100</v>
      </c>
      <c r="G911" s="331">
        <f t="shared" si="51"/>
        <v>100</v>
      </c>
      <c r="H911" s="183"/>
    </row>
    <row r="912" spans="2:8" ht="17.25" customHeight="1" x14ac:dyDescent="0.25">
      <c r="B912" s="179"/>
      <c r="C912" s="674" t="s">
        <v>3200</v>
      </c>
      <c r="D912" s="172">
        <v>1000000000</v>
      </c>
      <c r="E912" s="583">
        <v>1000000000</v>
      </c>
      <c r="F912" s="583">
        <f t="shared" si="50"/>
        <v>100</v>
      </c>
      <c r="G912" s="365">
        <f t="shared" si="51"/>
        <v>100</v>
      </c>
      <c r="H912" s="183"/>
    </row>
    <row r="913" spans="2:8" ht="17.25" customHeight="1" x14ac:dyDescent="0.25">
      <c r="B913" s="179"/>
      <c r="C913" s="674" t="s">
        <v>3201</v>
      </c>
      <c r="D913" s="172">
        <v>584665182</v>
      </c>
      <c r="E913" s="583">
        <v>584665182</v>
      </c>
      <c r="F913" s="583">
        <f t="shared" si="50"/>
        <v>100</v>
      </c>
      <c r="G913" s="365">
        <f t="shared" si="51"/>
        <v>100</v>
      </c>
      <c r="H913" s="183"/>
    </row>
    <row r="914" spans="2:8" ht="17.25" customHeight="1" x14ac:dyDescent="0.25">
      <c r="B914" s="179"/>
      <c r="C914" s="180" t="s">
        <v>3202</v>
      </c>
      <c r="D914" s="112">
        <f>+D915</f>
        <v>651420772</v>
      </c>
      <c r="E914" s="716">
        <f>SUM(E915)</f>
        <v>651420772</v>
      </c>
      <c r="F914" s="716">
        <f t="shared" si="50"/>
        <v>100</v>
      </c>
      <c r="G914" s="331">
        <f t="shared" si="51"/>
        <v>100</v>
      </c>
      <c r="H914" s="183"/>
    </row>
    <row r="915" spans="2:8" ht="17.25" customHeight="1" x14ac:dyDescent="0.25">
      <c r="B915" s="179"/>
      <c r="C915" s="674" t="s">
        <v>3203</v>
      </c>
      <c r="D915" s="172">
        <v>651420772</v>
      </c>
      <c r="E915" s="583">
        <v>651420772</v>
      </c>
      <c r="F915" s="583">
        <f t="shared" si="50"/>
        <v>100</v>
      </c>
      <c r="G915" s="365">
        <f t="shared" si="51"/>
        <v>100</v>
      </c>
      <c r="H915" s="183"/>
    </row>
    <row r="916" spans="2:8" ht="17.25" customHeight="1" x14ac:dyDescent="0.25">
      <c r="B916" s="179"/>
      <c r="C916" s="180" t="s">
        <v>202</v>
      </c>
      <c r="D916" s="112">
        <f>+D917+D918</f>
        <v>5944000000</v>
      </c>
      <c r="E916" s="716">
        <f>SUM(E917:E918)</f>
        <v>5308000000</v>
      </c>
      <c r="F916" s="716">
        <f t="shared" si="50"/>
        <v>89.300134589502022</v>
      </c>
      <c r="G916" s="331">
        <f t="shared" si="51"/>
        <v>89.300134589502022</v>
      </c>
      <c r="H916" s="183"/>
    </row>
    <row r="917" spans="2:8" ht="18" customHeight="1" x14ac:dyDescent="0.25">
      <c r="B917" s="179"/>
      <c r="C917" s="674" t="s">
        <v>3204</v>
      </c>
      <c r="D917" s="172">
        <v>1060000000</v>
      </c>
      <c r="E917" s="583">
        <v>1060000000</v>
      </c>
      <c r="F917" s="583">
        <f t="shared" si="50"/>
        <v>100</v>
      </c>
      <c r="G917" s="365">
        <f t="shared" si="51"/>
        <v>100</v>
      </c>
      <c r="H917" s="183"/>
    </row>
    <row r="918" spans="2:8" ht="17.25" customHeight="1" x14ac:dyDescent="0.25">
      <c r="B918" s="179"/>
      <c r="C918" s="674" t="s">
        <v>3205</v>
      </c>
      <c r="D918" s="172">
        <v>4884000000</v>
      </c>
      <c r="E918" s="583">
        <v>4248000000</v>
      </c>
      <c r="F918" s="583">
        <f t="shared" si="50"/>
        <v>86.977886977886982</v>
      </c>
      <c r="G918" s="365">
        <f t="shared" si="51"/>
        <v>86.977886977886982</v>
      </c>
      <c r="H918" s="183"/>
    </row>
    <row r="919" spans="2:8" ht="17.25" customHeight="1" x14ac:dyDescent="0.25">
      <c r="B919" s="179"/>
      <c r="C919" s="196"/>
      <c r="D919" s="181"/>
      <c r="E919" s="181"/>
      <c r="F919" s="53"/>
      <c r="G919" s="117"/>
      <c r="H919" s="183"/>
    </row>
    <row r="920" spans="2:8" s="154" customFormat="1" ht="17.25" customHeight="1" x14ac:dyDescent="0.25">
      <c r="B920" s="184">
        <v>22</v>
      </c>
      <c r="C920" s="706" t="s">
        <v>3242</v>
      </c>
      <c r="D920" s="185">
        <f>+D921+D937</f>
        <v>22358773100</v>
      </c>
      <c r="E920" s="185">
        <f>+E921</f>
        <v>11793555470</v>
      </c>
      <c r="F920" s="186">
        <f t="shared" ref="F920" si="52">+E920/D920*100</f>
        <v>52.746881133652188</v>
      </c>
      <c r="G920" s="114">
        <f>(G922+G937)/2</f>
        <v>70</v>
      </c>
      <c r="H920" s="188"/>
    </row>
    <row r="921" spans="2:8" s="154" customFormat="1" ht="17.25" customHeight="1" x14ac:dyDescent="0.25">
      <c r="B921" s="184"/>
      <c r="C921" s="540" t="s">
        <v>150</v>
      </c>
      <c r="D921" s="541">
        <f>D922+D925+D927+D929+D932+D934</f>
        <v>12358773100</v>
      </c>
      <c r="E921" s="541">
        <f>E922+E925+E927+E929+E932+E934</f>
        <v>11793555470</v>
      </c>
      <c r="F921" s="726">
        <f t="shared" ref="F921:F935" si="53">E921/D921%</f>
        <v>95.426587854420603</v>
      </c>
      <c r="G921" s="365">
        <v>100</v>
      </c>
      <c r="H921" s="188"/>
    </row>
    <row r="922" spans="2:8" s="154" customFormat="1" ht="17.25" customHeight="1" x14ac:dyDescent="0.25">
      <c r="B922" s="184"/>
      <c r="C922" s="540" t="s">
        <v>156</v>
      </c>
      <c r="D922" s="541">
        <f>SUM(D923:D924)</f>
        <v>1276000000</v>
      </c>
      <c r="E922" s="541">
        <f>SUM(E923:E924)</f>
        <v>1186715470</v>
      </c>
      <c r="F922" s="727">
        <f t="shared" si="53"/>
        <v>93.002779780564268</v>
      </c>
      <c r="G922" s="331">
        <v>100</v>
      </c>
      <c r="H922" s="188"/>
    </row>
    <row r="923" spans="2:8" ht="17.25" customHeight="1" x14ac:dyDescent="0.25">
      <c r="B923" s="179"/>
      <c r="C923" s="542" t="s">
        <v>3259</v>
      </c>
      <c r="D923" s="543">
        <v>1000000000</v>
      </c>
      <c r="E923" s="543">
        <v>980715470</v>
      </c>
      <c r="F923" s="726">
        <f t="shared" si="53"/>
        <v>98.071546999999995</v>
      </c>
      <c r="G923" s="365">
        <v>100</v>
      </c>
      <c r="H923" s="183"/>
    </row>
    <row r="924" spans="2:8" ht="17.25" customHeight="1" x14ac:dyDescent="0.25">
      <c r="B924" s="179"/>
      <c r="C924" s="542" t="s">
        <v>3260</v>
      </c>
      <c r="D924" s="543">
        <v>276000000</v>
      </c>
      <c r="E924" s="543">
        <v>206000000</v>
      </c>
      <c r="F924" s="726">
        <f t="shared" si="53"/>
        <v>74.637681159420296</v>
      </c>
      <c r="G924" s="365">
        <v>100</v>
      </c>
      <c r="H924" s="183"/>
    </row>
    <row r="925" spans="2:8" s="154" customFormat="1" ht="17.25" customHeight="1" x14ac:dyDescent="0.25">
      <c r="B925" s="184"/>
      <c r="C925" s="540" t="s">
        <v>166</v>
      </c>
      <c r="D925" s="541">
        <f>SUM(D926:D926)</f>
        <v>360000000</v>
      </c>
      <c r="E925" s="541">
        <f>SUM(E926:E926)</f>
        <v>90000000</v>
      </c>
      <c r="F925" s="727">
        <f t="shared" si="53"/>
        <v>25</v>
      </c>
      <c r="G925" s="331">
        <v>100</v>
      </c>
      <c r="H925" s="188"/>
    </row>
    <row r="926" spans="2:8" ht="17.25" customHeight="1" x14ac:dyDescent="0.25">
      <c r="B926" s="179"/>
      <c r="C926" s="542" t="s">
        <v>3261</v>
      </c>
      <c r="D926" s="543">
        <v>360000000</v>
      </c>
      <c r="E926" s="543">
        <v>90000000</v>
      </c>
      <c r="F926" s="726">
        <f t="shared" si="53"/>
        <v>25</v>
      </c>
      <c r="G926" s="365">
        <v>100</v>
      </c>
      <c r="H926" s="183"/>
    </row>
    <row r="927" spans="2:8" ht="17.25" customHeight="1" x14ac:dyDescent="0.25">
      <c r="B927" s="179"/>
      <c r="C927" s="540" t="s">
        <v>3262</v>
      </c>
      <c r="D927" s="541">
        <f>D928</f>
        <v>4541003100</v>
      </c>
      <c r="E927" s="541">
        <f>E928</f>
        <v>4406000000</v>
      </c>
      <c r="F927" s="727">
        <f t="shared" si="53"/>
        <v>97.027020307473478</v>
      </c>
      <c r="G927" s="331">
        <v>100</v>
      </c>
      <c r="H927" s="183"/>
    </row>
    <row r="928" spans="2:8" s="154" customFormat="1" ht="17.25" customHeight="1" x14ac:dyDescent="0.25">
      <c r="B928" s="184"/>
      <c r="C928" s="542" t="s">
        <v>3263</v>
      </c>
      <c r="D928" s="543">
        <v>4541003100</v>
      </c>
      <c r="E928" s="543">
        <v>4406000000</v>
      </c>
      <c r="F928" s="726">
        <f t="shared" si="53"/>
        <v>97.027020307473478</v>
      </c>
      <c r="G928" s="365">
        <v>100</v>
      </c>
      <c r="H928" s="188"/>
    </row>
    <row r="929" spans="2:8" ht="17.25" customHeight="1" x14ac:dyDescent="0.25">
      <c r="B929" s="179"/>
      <c r="C929" s="540" t="s">
        <v>3264</v>
      </c>
      <c r="D929" s="541">
        <f>SUM(D930:D931)</f>
        <v>1051840000</v>
      </c>
      <c r="E929" s="541">
        <f>SUM(E930:E931)</f>
        <v>1051840000</v>
      </c>
      <c r="F929" s="727">
        <f t="shared" si="53"/>
        <v>100</v>
      </c>
      <c r="G929" s="331">
        <v>100</v>
      </c>
      <c r="H929" s="183"/>
    </row>
    <row r="930" spans="2:8" s="154" customFormat="1" ht="17.25" customHeight="1" x14ac:dyDescent="0.25">
      <c r="B930" s="184"/>
      <c r="C930" s="542" t="s">
        <v>3265</v>
      </c>
      <c r="D930" s="543">
        <v>690440000</v>
      </c>
      <c r="E930" s="543">
        <v>690440000</v>
      </c>
      <c r="F930" s="726">
        <f t="shared" si="53"/>
        <v>100</v>
      </c>
      <c r="G930" s="365">
        <v>100</v>
      </c>
      <c r="H930" s="188"/>
    </row>
    <row r="931" spans="2:8" ht="17.25" customHeight="1" x14ac:dyDescent="0.25">
      <c r="B931" s="179"/>
      <c r="C931" s="542" t="s">
        <v>3266</v>
      </c>
      <c r="D931" s="543">
        <v>361400000</v>
      </c>
      <c r="E931" s="543">
        <v>361400000</v>
      </c>
      <c r="F931" s="726">
        <f t="shared" si="53"/>
        <v>100</v>
      </c>
      <c r="G931" s="365">
        <v>100</v>
      </c>
      <c r="H931" s="183"/>
    </row>
    <row r="932" spans="2:8" ht="26.25" customHeight="1" x14ac:dyDescent="0.25">
      <c r="B932" s="179"/>
      <c r="C932" s="540" t="s">
        <v>3267</v>
      </c>
      <c r="D932" s="541">
        <f>D933</f>
        <v>1335930000</v>
      </c>
      <c r="E932" s="541">
        <f>E933</f>
        <v>1315000000</v>
      </c>
      <c r="F932" s="727">
        <f t="shared" si="53"/>
        <v>98.433301146018124</v>
      </c>
      <c r="G932" s="331">
        <v>100</v>
      </c>
      <c r="H932" s="183"/>
    </row>
    <row r="933" spans="2:8" s="154" customFormat="1" ht="17.25" customHeight="1" x14ac:dyDescent="0.25">
      <c r="B933" s="184"/>
      <c r="C933" s="542" t="s">
        <v>3268</v>
      </c>
      <c r="D933" s="543">
        <v>1335930000</v>
      </c>
      <c r="E933" s="543">
        <v>1315000000</v>
      </c>
      <c r="F933" s="726">
        <f t="shared" si="53"/>
        <v>98.433301146018124</v>
      </c>
      <c r="G933" s="365">
        <v>100</v>
      </c>
      <c r="H933" s="188"/>
    </row>
    <row r="934" spans="2:8" ht="17.25" customHeight="1" x14ac:dyDescent="0.25">
      <c r="B934" s="179"/>
      <c r="C934" s="540" t="s">
        <v>202</v>
      </c>
      <c r="D934" s="541">
        <f>D935</f>
        <v>3794000000</v>
      </c>
      <c r="E934" s="541">
        <f>E935</f>
        <v>3744000000</v>
      </c>
      <c r="F934" s="727">
        <f t="shared" si="53"/>
        <v>98.682129678439637</v>
      </c>
      <c r="G934" s="331">
        <v>100</v>
      </c>
      <c r="H934" s="183"/>
    </row>
    <row r="935" spans="2:8" ht="17.25" customHeight="1" x14ac:dyDescent="0.25">
      <c r="B935" s="179"/>
      <c r="C935" s="542" t="s">
        <v>3269</v>
      </c>
      <c r="D935" s="543">
        <v>3794000000</v>
      </c>
      <c r="E935" s="543">
        <v>3744000000</v>
      </c>
      <c r="F935" s="726">
        <f t="shared" si="53"/>
        <v>98.682129678439637</v>
      </c>
      <c r="G935" s="365">
        <v>100</v>
      </c>
      <c r="H935" s="183"/>
    </row>
    <row r="936" spans="2:8" ht="17.25" customHeight="1" x14ac:dyDescent="0.25">
      <c r="B936" s="179"/>
      <c r="C936" s="674"/>
      <c r="D936" s="116"/>
      <c r="E936" s="116"/>
      <c r="F936" s="116"/>
      <c r="G936" s="117"/>
      <c r="H936" s="183"/>
    </row>
    <row r="937" spans="2:8" ht="17.25" customHeight="1" x14ac:dyDescent="0.25">
      <c r="B937" s="179"/>
      <c r="C937" s="599" t="s">
        <v>2144</v>
      </c>
      <c r="D937" s="181">
        <v>10000000000</v>
      </c>
      <c r="E937" s="181">
        <f>+E938+E939</f>
        <v>3984960000</v>
      </c>
      <c r="F937" s="583">
        <f t="shared" ref="F937:F938" si="54">E937/D937%</f>
        <v>39.849600000000002</v>
      </c>
      <c r="G937" s="365">
        <v>40</v>
      </c>
      <c r="H937" s="183"/>
    </row>
    <row r="938" spans="2:8" ht="17.25" customHeight="1" x14ac:dyDescent="0.25">
      <c r="B938" s="179"/>
      <c r="C938" s="310" t="s">
        <v>4037</v>
      </c>
      <c r="D938" s="181">
        <v>5000000000</v>
      </c>
      <c r="E938" s="728">
        <v>3984960000</v>
      </c>
      <c r="F938" s="583">
        <f t="shared" si="54"/>
        <v>79.699200000000005</v>
      </c>
      <c r="G938" s="365">
        <v>80</v>
      </c>
      <c r="H938" s="183"/>
    </row>
    <row r="939" spans="2:8" ht="17.25" customHeight="1" x14ac:dyDescent="0.25">
      <c r="B939" s="179"/>
      <c r="C939" s="310" t="s">
        <v>4038</v>
      </c>
      <c r="D939" s="181">
        <v>5000000000</v>
      </c>
      <c r="E939" s="181"/>
      <c r="F939" s="53"/>
      <c r="G939" s="117"/>
      <c r="H939" s="183"/>
    </row>
    <row r="940" spans="2:8" ht="17.25" customHeight="1" x14ac:dyDescent="0.25">
      <c r="B940" s="179"/>
      <c r="C940" s="674"/>
      <c r="D940" s="181"/>
      <c r="E940" s="181"/>
      <c r="F940" s="53"/>
      <c r="G940" s="117"/>
      <c r="H940" s="183"/>
    </row>
    <row r="941" spans="2:8" s="154" customFormat="1" ht="17.25" customHeight="1" x14ac:dyDescent="0.25">
      <c r="B941" s="184">
        <v>23</v>
      </c>
      <c r="C941" s="188" t="s">
        <v>3293</v>
      </c>
      <c r="D941" s="185">
        <f>D942</f>
        <v>16165992750</v>
      </c>
      <c r="E941" s="185">
        <f>E942</f>
        <v>15425470396</v>
      </c>
      <c r="F941" s="186">
        <f>(E941/D941)*100</f>
        <v>95.419258405890346</v>
      </c>
      <c r="G941" s="114">
        <f>G942</f>
        <v>99.096095065300176</v>
      </c>
      <c r="H941" s="188"/>
    </row>
    <row r="942" spans="2:8" s="154" customFormat="1" ht="17.25" customHeight="1" x14ac:dyDescent="0.25">
      <c r="B942" s="184"/>
      <c r="C942" s="180" t="s">
        <v>150</v>
      </c>
      <c r="D942" s="120">
        <f>(D943+D945+D949+D952+D955+D958+D960+D962+D964)</f>
        <v>16165992750</v>
      </c>
      <c r="E942" s="729">
        <f>(E943+E945+E949+E952+E955+E958+E960+E962+E964)</f>
        <v>15425470396</v>
      </c>
      <c r="F942" s="730">
        <f>(F943+F945+F949+F952+F955+F958+F960+F962+F964)/9</f>
        <v>98.697736547266672</v>
      </c>
      <c r="G942" s="367">
        <f>(G943+G945+G949+G952+G955+G958+G960+G962+G964)/9</f>
        <v>99.096095065300176</v>
      </c>
      <c r="H942" s="188"/>
    </row>
    <row r="943" spans="2:8" ht="17.25" customHeight="1" x14ac:dyDescent="0.25">
      <c r="B943" s="179"/>
      <c r="C943" s="180" t="s">
        <v>156</v>
      </c>
      <c r="D943" s="120">
        <f>D944</f>
        <v>1563790050</v>
      </c>
      <c r="E943" s="731">
        <f>E944</f>
        <v>1545730506</v>
      </c>
      <c r="F943" s="192">
        <f t="shared" ref="F943:F957" si="55">(E943/D943)*100</f>
        <v>98.845142671166116</v>
      </c>
      <c r="G943" s="235">
        <f>G944</f>
        <v>100</v>
      </c>
      <c r="H943" s="183"/>
    </row>
    <row r="944" spans="2:8" ht="35.25" customHeight="1" x14ac:dyDescent="0.25">
      <c r="B944" s="179"/>
      <c r="C944" s="683" t="s">
        <v>3313</v>
      </c>
      <c r="D944" s="107">
        <v>1563790050</v>
      </c>
      <c r="E944" s="583">
        <v>1545730506</v>
      </c>
      <c r="F944" s="192">
        <f t="shared" si="55"/>
        <v>98.845142671166116</v>
      </c>
      <c r="G944" s="235">
        <v>100</v>
      </c>
      <c r="H944" s="183"/>
    </row>
    <row r="945" spans="2:8" ht="17.25" customHeight="1" x14ac:dyDescent="0.25">
      <c r="B945" s="179"/>
      <c r="C945" s="180" t="s">
        <v>166</v>
      </c>
      <c r="D945" s="120">
        <f>SUM(D946:D948)</f>
        <v>8157200000</v>
      </c>
      <c r="E945" s="731">
        <f>SUM(E946:E948)</f>
        <v>7493600000</v>
      </c>
      <c r="F945" s="192">
        <f t="shared" si="55"/>
        <v>91.864855587701669</v>
      </c>
      <c r="G945" s="235">
        <f>(E945/D945)*100</f>
        <v>91.864855587701669</v>
      </c>
      <c r="H945" s="183"/>
    </row>
    <row r="946" spans="2:8" ht="17.25" customHeight="1" x14ac:dyDescent="0.25">
      <c r="B946" s="179"/>
      <c r="C946" s="183" t="s">
        <v>3314</v>
      </c>
      <c r="D946" s="107">
        <v>6880800000</v>
      </c>
      <c r="E946" s="583">
        <v>6667200000</v>
      </c>
      <c r="F946" s="192">
        <f t="shared" si="55"/>
        <v>96.895709801185916</v>
      </c>
      <c r="G946" s="235">
        <v>100</v>
      </c>
      <c r="H946" s="183"/>
    </row>
    <row r="947" spans="2:8" ht="17.25" customHeight="1" x14ac:dyDescent="0.25">
      <c r="B947" s="179"/>
      <c r="C947" s="183" t="s">
        <v>3261</v>
      </c>
      <c r="D947" s="107">
        <v>606400000</v>
      </c>
      <c r="E947" s="583">
        <v>606400000</v>
      </c>
      <c r="F947" s="192">
        <f t="shared" si="55"/>
        <v>100</v>
      </c>
      <c r="G947" s="235">
        <v>100</v>
      </c>
      <c r="H947" s="183"/>
    </row>
    <row r="948" spans="2:8" ht="35.25" customHeight="1" x14ac:dyDescent="0.25">
      <c r="B948" s="179"/>
      <c r="C948" s="683" t="s">
        <v>3315</v>
      </c>
      <c r="D948" s="107">
        <v>670000000</v>
      </c>
      <c r="E948" s="583">
        <v>220000000</v>
      </c>
      <c r="F948" s="192">
        <f t="shared" si="55"/>
        <v>32.835820895522389</v>
      </c>
      <c r="G948" s="612">
        <v>33</v>
      </c>
      <c r="H948" s="183"/>
    </row>
    <row r="949" spans="2:8" ht="17.25" customHeight="1" x14ac:dyDescent="0.25">
      <c r="B949" s="179"/>
      <c r="C949" s="180" t="s">
        <v>705</v>
      </c>
      <c r="D949" s="120">
        <f>(D951+D950)</f>
        <v>830499700</v>
      </c>
      <c r="E949" s="731">
        <f>(E951+E950)</f>
        <v>830499700</v>
      </c>
      <c r="F949" s="192">
        <f t="shared" si="55"/>
        <v>100</v>
      </c>
      <c r="G949" s="235">
        <f>(G950+G951)/2</f>
        <v>100</v>
      </c>
      <c r="H949" s="183"/>
    </row>
    <row r="950" spans="2:8" ht="17.25" customHeight="1" x14ac:dyDescent="0.25">
      <c r="B950" s="179"/>
      <c r="C950" s="183" t="s">
        <v>3316</v>
      </c>
      <c r="D950" s="107">
        <v>247899700</v>
      </c>
      <c r="E950" s="583">
        <v>247899700</v>
      </c>
      <c r="F950" s="192">
        <f t="shared" si="55"/>
        <v>100</v>
      </c>
      <c r="G950" s="235">
        <v>100</v>
      </c>
      <c r="H950" s="183"/>
    </row>
    <row r="951" spans="2:8" ht="17.25" customHeight="1" x14ac:dyDescent="0.25">
      <c r="B951" s="179"/>
      <c r="C951" s="183" t="s">
        <v>1211</v>
      </c>
      <c r="D951" s="107">
        <v>582600000</v>
      </c>
      <c r="E951" s="583">
        <v>582600000</v>
      </c>
      <c r="F951" s="192">
        <f t="shared" si="55"/>
        <v>100</v>
      </c>
      <c r="G951" s="235">
        <v>100</v>
      </c>
      <c r="H951" s="183"/>
    </row>
    <row r="952" spans="2:8" ht="17.25" customHeight="1" x14ac:dyDescent="0.25">
      <c r="B952" s="179"/>
      <c r="C952" s="180" t="s">
        <v>177</v>
      </c>
      <c r="D952" s="120">
        <f>(D954+D953)</f>
        <v>926950000</v>
      </c>
      <c r="E952" s="731">
        <f>(E954+E953)</f>
        <v>926904190</v>
      </c>
      <c r="F952" s="192">
        <f t="shared" si="55"/>
        <v>99.995057985867632</v>
      </c>
      <c r="G952" s="235">
        <f>(G953+G954)/2</f>
        <v>100</v>
      </c>
      <c r="H952" s="183"/>
    </row>
    <row r="953" spans="2:8" ht="17.25" customHeight="1" x14ac:dyDescent="0.25">
      <c r="B953" s="179"/>
      <c r="C953" s="183" t="s">
        <v>3317</v>
      </c>
      <c r="D953" s="107">
        <v>120000000</v>
      </c>
      <c r="E953" s="583">
        <v>120000000</v>
      </c>
      <c r="F953" s="192">
        <f t="shared" si="55"/>
        <v>100</v>
      </c>
      <c r="G953" s="612">
        <v>100</v>
      </c>
      <c r="H953" s="183"/>
    </row>
    <row r="954" spans="2:8" ht="17.25" customHeight="1" x14ac:dyDescent="0.25">
      <c r="B954" s="179"/>
      <c r="C954" s="683" t="s">
        <v>3318</v>
      </c>
      <c r="D954" s="107">
        <v>806950000</v>
      </c>
      <c r="E954" s="583">
        <v>806904190</v>
      </c>
      <c r="F954" s="192">
        <f t="shared" si="55"/>
        <v>99.99432306834376</v>
      </c>
      <c r="G954" s="235">
        <v>100</v>
      </c>
      <c r="H954" s="183"/>
    </row>
    <row r="955" spans="2:8" ht="17.25" customHeight="1" x14ac:dyDescent="0.25">
      <c r="B955" s="179"/>
      <c r="C955" s="180" t="s">
        <v>182</v>
      </c>
      <c r="D955" s="120">
        <f>(D957+D956)</f>
        <v>684250000</v>
      </c>
      <c r="E955" s="731">
        <f>(E957+E956)</f>
        <v>684250000</v>
      </c>
      <c r="F955" s="192">
        <f t="shared" si="55"/>
        <v>100</v>
      </c>
      <c r="G955" s="235">
        <f>(G956+G957)/2</f>
        <v>100</v>
      </c>
      <c r="H955" s="183"/>
    </row>
    <row r="956" spans="2:8" ht="17.25" customHeight="1" x14ac:dyDescent="0.25">
      <c r="B956" s="179"/>
      <c r="C956" s="183" t="s">
        <v>1218</v>
      </c>
      <c r="D956" s="107">
        <v>209000000</v>
      </c>
      <c r="E956" s="583">
        <v>209000000</v>
      </c>
      <c r="F956" s="192">
        <f t="shared" si="55"/>
        <v>100</v>
      </c>
      <c r="G956" s="235">
        <v>100</v>
      </c>
      <c r="H956" s="183"/>
    </row>
    <row r="957" spans="2:8" ht="17.25" customHeight="1" x14ac:dyDescent="0.25">
      <c r="B957" s="179"/>
      <c r="C957" s="683" t="s">
        <v>3319</v>
      </c>
      <c r="D957" s="107">
        <v>475250000</v>
      </c>
      <c r="E957" s="583">
        <v>475250000</v>
      </c>
      <c r="F957" s="192">
        <f t="shared" si="55"/>
        <v>100</v>
      </c>
      <c r="G957" s="612">
        <v>100</v>
      </c>
      <c r="H957" s="183"/>
    </row>
    <row r="958" spans="2:8" ht="17.25" customHeight="1" x14ac:dyDescent="0.25">
      <c r="B958" s="179"/>
      <c r="C958" s="180" t="s">
        <v>3320</v>
      </c>
      <c r="D958" s="120">
        <f>D959</f>
        <v>259480000</v>
      </c>
      <c r="E958" s="731">
        <f>E959</f>
        <v>259480000</v>
      </c>
      <c r="F958" s="192">
        <f>F959</f>
        <v>100</v>
      </c>
      <c r="G958" s="235">
        <f>G959</f>
        <v>100</v>
      </c>
      <c r="H958" s="183"/>
    </row>
    <row r="959" spans="2:8" ht="17.25" customHeight="1" x14ac:dyDescent="0.25">
      <c r="B959" s="179"/>
      <c r="C959" s="183" t="s">
        <v>3321</v>
      </c>
      <c r="D959" s="107">
        <v>259480000</v>
      </c>
      <c r="E959" s="583">
        <v>259480000</v>
      </c>
      <c r="F959" s="192">
        <f t="shared" ref="F959:F965" si="56">(E959/D959)*100</f>
        <v>100</v>
      </c>
      <c r="G959" s="235">
        <v>100</v>
      </c>
      <c r="H959" s="183"/>
    </row>
    <row r="960" spans="2:8" ht="17.25" customHeight="1" x14ac:dyDescent="0.25">
      <c r="B960" s="179"/>
      <c r="C960" s="180" t="s">
        <v>3322</v>
      </c>
      <c r="D960" s="120">
        <f>D961</f>
        <v>551700000</v>
      </c>
      <c r="E960" s="731">
        <f>E961</f>
        <v>550000000</v>
      </c>
      <c r="F960" s="192">
        <f t="shared" si="56"/>
        <v>99.691861518941451</v>
      </c>
      <c r="G960" s="235">
        <f>G961</f>
        <v>100</v>
      </c>
      <c r="H960" s="183"/>
    </row>
    <row r="961" spans="2:8" ht="17.25" customHeight="1" x14ac:dyDescent="0.25">
      <c r="B961" s="179"/>
      <c r="C961" s="683" t="s">
        <v>3323</v>
      </c>
      <c r="D961" s="107">
        <v>551700000</v>
      </c>
      <c r="E961" s="583">
        <v>550000000</v>
      </c>
      <c r="F961" s="192">
        <f t="shared" si="56"/>
        <v>99.691861518941451</v>
      </c>
      <c r="G961" s="235">
        <v>100</v>
      </c>
      <c r="H961" s="183"/>
    </row>
    <row r="962" spans="2:8" ht="17.25" customHeight="1" x14ac:dyDescent="0.25">
      <c r="B962" s="179"/>
      <c r="C962" s="180" t="s">
        <v>2099</v>
      </c>
      <c r="D962" s="120">
        <f>D963</f>
        <v>2697648000</v>
      </c>
      <c r="E962" s="731">
        <f>E963</f>
        <v>2640531000</v>
      </c>
      <c r="F962" s="192">
        <f t="shared" si="56"/>
        <v>97.882711161723108</v>
      </c>
      <c r="G962" s="235">
        <f>G963</f>
        <v>100</v>
      </c>
      <c r="H962" s="183"/>
    </row>
    <row r="963" spans="2:8" ht="17.25" customHeight="1" x14ac:dyDescent="0.25">
      <c r="B963" s="179"/>
      <c r="C963" s="183" t="s">
        <v>3324</v>
      </c>
      <c r="D963" s="107">
        <v>2697648000</v>
      </c>
      <c r="E963" s="583">
        <v>2640531000</v>
      </c>
      <c r="F963" s="192">
        <f t="shared" si="56"/>
        <v>97.882711161723108</v>
      </c>
      <c r="G963" s="235">
        <v>100</v>
      </c>
      <c r="H963" s="183"/>
    </row>
    <row r="964" spans="2:8" ht="17.25" customHeight="1" x14ac:dyDescent="0.25">
      <c r="B964" s="179"/>
      <c r="C964" s="180" t="s">
        <v>202</v>
      </c>
      <c r="D964" s="120">
        <f>D965</f>
        <v>494475000</v>
      </c>
      <c r="E964" s="731">
        <f>E965</f>
        <v>494475000</v>
      </c>
      <c r="F964" s="192">
        <f t="shared" si="56"/>
        <v>100</v>
      </c>
      <c r="G964" s="235">
        <f>G965</f>
        <v>100</v>
      </c>
      <c r="H964" s="183"/>
    </row>
    <row r="965" spans="2:8" ht="17.25" customHeight="1" x14ac:dyDescent="0.25">
      <c r="B965" s="179"/>
      <c r="C965" s="683" t="s">
        <v>1204</v>
      </c>
      <c r="D965" s="107">
        <v>494475000</v>
      </c>
      <c r="E965" s="583">
        <v>494475000</v>
      </c>
      <c r="F965" s="192">
        <f t="shared" si="56"/>
        <v>100</v>
      </c>
      <c r="G965" s="235">
        <v>100</v>
      </c>
      <c r="H965" s="183"/>
    </row>
    <row r="966" spans="2:8" ht="17.25" customHeight="1" x14ac:dyDescent="0.25">
      <c r="B966" s="179"/>
      <c r="C966" s="196"/>
      <c r="D966" s="181"/>
      <c r="E966" s="181"/>
      <c r="F966" s="53"/>
      <c r="G966" s="117"/>
      <c r="H966" s="183"/>
    </row>
    <row r="967" spans="2:8" s="154" customFormat="1" ht="17.25" customHeight="1" x14ac:dyDescent="0.25">
      <c r="B967" s="184">
        <v>24</v>
      </c>
      <c r="C967" s="217" t="s">
        <v>3365</v>
      </c>
      <c r="D967" s="168">
        <f>+D968</f>
        <v>15951412800</v>
      </c>
      <c r="E967" s="168">
        <f>+E968</f>
        <v>2628000000</v>
      </c>
      <c r="F967" s="195">
        <f>+E967/D967*100</f>
        <v>16.475029722759103</v>
      </c>
      <c r="G967" s="114">
        <f>G968</f>
        <v>16.475029722759103</v>
      </c>
      <c r="H967" s="188"/>
    </row>
    <row r="968" spans="2:8" ht="17.25" customHeight="1" x14ac:dyDescent="0.25">
      <c r="B968" s="179"/>
      <c r="C968" s="217" t="s">
        <v>150</v>
      </c>
      <c r="D968" s="168">
        <f>D969+D972+D977+D980+D983+D990+D997+D999</f>
        <v>15951412800</v>
      </c>
      <c r="E968" s="242">
        <f>E969+E972+E977+E980+E983+E990+E997+E999</f>
        <v>2628000000</v>
      </c>
      <c r="F968" s="333">
        <f t="shared" ref="F968:F1000" si="57">E968/D968*100</f>
        <v>16.475029722759103</v>
      </c>
      <c r="G968" s="114">
        <f t="shared" ref="G968:G1000" si="58">+F968</f>
        <v>16.475029722759103</v>
      </c>
      <c r="H968" s="183"/>
    </row>
    <row r="969" spans="2:8" ht="17.25" customHeight="1" x14ac:dyDescent="0.25">
      <c r="B969" s="179"/>
      <c r="C969" s="217" t="s">
        <v>156</v>
      </c>
      <c r="D969" s="168">
        <v>610000000</v>
      </c>
      <c r="E969" s="242">
        <f>E970+E971</f>
        <v>108000000</v>
      </c>
      <c r="F969" s="333">
        <f t="shared" si="57"/>
        <v>17.704918032786885</v>
      </c>
      <c r="G969" s="114">
        <f t="shared" si="58"/>
        <v>17.704918032786885</v>
      </c>
      <c r="H969" s="183"/>
    </row>
    <row r="970" spans="2:8" ht="17.25" customHeight="1" x14ac:dyDescent="0.25">
      <c r="B970" s="179"/>
      <c r="C970" s="119" t="s">
        <v>3385</v>
      </c>
      <c r="D970" s="169">
        <v>360000000</v>
      </c>
      <c r="E970" s="243">
        <v>108000000</v>
      </c>
      <c r="F970" s="379">
        <f t="shared" si="57"/>
        <v>30</v>
      </c>
      <c r="G970" s="117">
        <f t="shared" si="58"/>
        <v>30</v>
      </c>
      <c r="H970" s="183"/>
    </row>
    <row r="971" spans="2:8" ht="17.25" customHeight="1" x14ac:dyDescent="0.25">
      <c r="B971" s="179"/>
      <c r="C971" s="119" t="s">
        <v>3386</v>
      </c>
      <c r="D971" s="169">
        <v>250000000</v>
      </c>
      <c r="E971" s="243"/>
      <c r="F971" s="379">
        <f t="shared" si="57"/>
        <v>0</v>
      </c>
      <c r="G971" s="117">
        <f t="shared" si="58"/>
        <v>0</v>
      </c>
      <c r="H971" s="183"/>
    </row>
    <row r="972" spans="2:8" ht="17.25" customHeight="1" x14ac:dyDescent="0.25">
      <c r="B972" s="179"/>
      <c r="C972" s="217" t="s">
        <v>166</v>
      </c>
      <c r="D972" s="168">
        <v>2700000000</v>
      </c>
      <c r="E972" s="242">
        <f>E973+E974+E975+E976</f>
        <v>760000000</v>
      </c>
      <c r="F972" s="333">
        <f t="shared" si="57"/>
        <v>28.148148148148149</v>
      </c>
      <c r="G972" s="114">
        <f t="shared" si="58"/>
        <v>28.148148148148149</v>
      </c>
      <c r="H972" s="183"/>
    </row>
    <row r="973" spans="2:8" ht="17.25" customHeight="1" x14ac:dyDescent="0.25">
      <c r="B973" s="179"/>
      <c r="C973" s="119" t="s">
        <v>3387</v>
      </c>
      <c r="D973" s="169">
        <v>1500000000</v>
      </c>
      <c r="E973" s="243">
        <v>400000000</v>
      </c>
      <c r="F973" s="379">
        <f t="shared" si="57"/>
        <v>26.666666666666668</v>
      </c>
      <c r="G973" s="117">
        <f t="shared" si="58"/>
        <v>26.666666666666668</v>
      </c>
      <c r="H973" s="183"/>
    </row>
    <row r="974" spans="2:8" ht="17.25" customHeight="1" x14ac:dyDescent="0.25">
      <c r="B974" s="179"/>
      <c r="C974" s="119" t="s">
        <v>3388</v>
      </c>
      <c r="D974" s="169">
        <v>150000000</v>
      </c>
      <c r="E974" s="243">
        <v>45000000</v>
      </c>
      <c r="F974" s="379">
        <f t="shared" si="57"/>
        <v>30</v>
      </c>
      <c r="G974" s="117">
        <f t="shared" si="58"/>
        <v>30</v>
      </c>
      <c r="H974" s="183"/>
    </row>
    <row r="975" spans="2:8" ht="17.25" customHeight="1" x14ac:dyDescent="0.25">
      <c r="B975" s="179"/>
      <c r="C975" s="119" t="s">
        <v>3389</v>
      </c>
      <c r="D975" s="169">
        <v>750000000</v>
      </c>
      <c r="E975" s="243">
        <v>225000000</v>
      </c>
      <c r="F975" s="379">
        <f t="shared" si="57"/>
        <v>30</v>
      </c>
      <c r="G975" s="117">
        <f t="shared" si="58"/>
        <v>30</v>
      </c>
      <c r="H975" s="183"/>
    </row>
    <row r="976" spans="2:8" ht="17.25" customHeight="1" x14ac:dyDescent="0.25">
      <c r="B976" s="179"/>
      <c r="C976" s="119" t="s">
        <v>3390</v>
      </c>
      <c r="D976" s="169">
        <v>300000000</v>
      </c>
      <c r="E976" s="243">
        <v>90000000</v>
      </c>
      <c r="F976" s="379">
        <f t="shared" si="57"/>
        <v>30</v>
      </c>
      <c r="G976" s="117">
        <f t="shared" si="58"/>
        <v>30</v>
      </c>
      <c r="H976" s="183"/>
    </row>
    <row r="977" spans="2:8" ht="17.25" customHeight="1" x14ac:dyDescent="0.25">
      <c r="B977" s="179"/>
      <c r="C977" s="217" t="s">
        <v>705</v>
      </c>
      <c r="D977" s="168">
        <v>336412800</v>
      </c>
      <c r="E977" s="242">
        <f>E978+E979</f>
        <v>100000000</v>
      </c>
      <c r="F977" s="333">
        <f t="shared" si="57"/>
        <v>29.72538500318656</v>
      </c>
      <c r="G977" s="114">
        <f t="shared" si="58"/>
        <v>29.72538500318656</v>
      </c>
      <c r="H977" s="183"/>
    </row>
    <row r="978" spans="2:8" ht="17.25" customHeight="1" x14ac:dyDescent="0.25">
      <c r="B978" s="179"/>
      <c r="C978" s="119" t="s">
        <v>3391</v>
      </c>
      <c r="D978" s="169">
        <v>86412800</v>
      </c>
      <c r="E978" s="243">
        <v>25000000</v>
      </c>
      <c r="F978" s="379">
        <f t="shared" si="57"/>
        <v>28.930899126055397</v>
      </c>
      <c r="G978" s="117">
        <f t="shared" si="58"/>
        <v>28.930899126055397</v>
      </c>
      <c r="H978" s="183"/>
    </row>
    <row r="979" spans="2:8" ht="17.25" customHeight="1" x14ac:dyDescent="0.25">
      <c r="B979" s="179"/>
      <c r="C979" s="119" t="s">
        <v>3392</v>
      </c>
      <c r="D979" s="169">
        <v>250000000</v>
      </c>
      <c r="E979" s="243">
        <v>75000000</v>
      </c>
      <c r="F979" s="379">
        <f t="shared" si="57"/>
        <v>30</v>
      </c>
      <c r="G979" s="117">
        <f t="shared" si="58"/>
        <v>30</v>
      </c>
      <c r="H979" s="183"/>
    </row>
    <row r="980" spans="2:8" ht="17.25" customHeight="1" x14ac:dyDescent="0.25">
      <c r="B980" s="179"/>
      <c r="C980" s="217" t="s">
        <v>177</v>
      </c>
      <c r="D980" s="168">
        <v>775000000</v>
      </c>
      <c r="E980" s="242">
        <f>E981+E982</f>
        <v>230000000</v>
      </c>
      <c r="F980" s="333">
        <f t="shared" si="57"/>
        <v>29.677419354838708</v>
      </c>
      <c r="G980" s="114">
        <f t="shared" si="58"/>
        <v>29.677419354838708</v>
      </c>
      <c r="H980" s="183"/>
    </row>
    <row r="981" spans="2:8" ht="17.25" customHeight="1" x14ac:dyDescent="0.25">
      <c r="B981" s="179"/>
      <c r="C981" s="119" t="s">
        <v>3393</v>
      </c>
      <c r="D981" s="169">
        <v>475000000</v>
      </c>
      <c r="E981" s="243">
        <v>140000000</v>
      </c>
      <c r="F981" s="379">
        <f t="shared" si="57"/>
        <v>29.473684210526311</v>
      </c>
      <c r="G981" s="117">
        <f t="shared" si="58"/>
        <v>29.473684210526311</v>
      </c>
      <c r="H981" s="183"/>
    </row>
    <row r="982" spans="2:8" ht="17.25" customHeight="1" x14ac:dyDescent="0.25">
      <c r="B982" s="179"/>
      <c r="C982" s="119" t="s">
        <v>3394</v>
      </c>
      <c r="D982" s="169">
        <v>300000000</v>
      </c>
      <c r="E982" s="243">
        <v>90000000</v>
      </c>
      <c r="F982" s="379">
        <f t="shared" si="57"/>
        <v>30</v>
      </c>
      <c r="G982" s="117">
        <f t="shared" si="58"/>
        <v>30</v>
      </c>
      <c r="H982" s="183"/>
    </row>
    <row r="983" spans="2:8" ht="17.25" customHeight="1" x14ac:dyDescent="0.25">
      <c r="B983" s="179"/>
      <c r="C983" s="217" t="s">
        <v>3395</v>
      </c>
      <c r="D983" s="168">
        <v>2450000000</v>
      </c>
      <c r="E983" s="242">
        <f>E984+E985+E986+E987+E988+E989</f>
        <v>315000000</v>
      </c>
      <c r="F983" s="333">
        <f t="shared" si="57"/>
        <v>12.857142857142856</v>
      </c>
      <c r="G983" s="114">
        <f t="shared" si="58"/>
        <v>12.857142857142856</v>
      </c>
      <c r="H983" s="183"/>
    </row>
    <row r="984" spans="2:8" ht="18" customHeight="1" x14ac:dyDescent="0.25">
      <c r="B984" s="179"/>
      <c r="C984" s="119" t="s">
        <v>840</v>
      </c>
      <c r="D984" s="169">
        <v>300000000</v>
      </c>
      <c r="E984" s="243">
        <v>90000000</v>
      </c>
      <c r="F984" s="379">
        <f t="shared" si="57"/>
        <v>30</v>
      </c>
      <c r="G984" s="117">
        <f t="shared" si="58"/>
        <v>30</v>
      </c>
      <c r="H984" s="183"/>
    </row>
    <row r="985" spans="2:8" ht="17.25" customHeight="1" x14ac:dyDescent="0.25">
      <c r="B985" s="179"/>
      <c r="C985" s="119" t="s">
        <v>3396</v>
      </c>
      <c r="D985" s="169">
        <v>150000000</v>
      </c>
      <c r="E985" s="243">
        <v>45000000</v>
      </c>
      <c r="F985" s="379">
        <f t="shared" si="57"/>
        <v>30</v>
      </c>
      <c r="G985" s="117">
        <f t="shared" si="58"/>
        <v>30</v>
      </c>
      <c r="H985" s="183"/>
    </row>
    <row r="986" spans="2:8" ht="17.25" customHeight="1" x14ac:dyDescent="0.25">
      <c r="B986" s="179"/>
      <c r="C986" s="119" t="s">
        <v>3397</v>
      </c>
      <c r="D986" s="169">
        <v>300000000</v>
      </c>
      <c r="E986" s="243">
        <v>90000000</v>
      </c>
      <c r="F986" s="379">
        <f t="shared" si="57"/>
        <v>30</v>
      </c>
      <c r="G986" s="117">
        <f t="shared" si="58"/>
        <v>30</v>
      </c>
      <c r="H986" s="183"/>
    </row>
    <row r="987" spans="2:8" ht="17.25" customHeight="1" x14ac:dyDescent="0.25">
      <c r="B987" s="179"/>
      <c r="C987" s="119" t="s">
        <v>3398</v>
      </c>
      <c r="D987" s="169">
        <v>300000000</v>
      </c>
      <c r="E987" s="243">
        <v>90000000</v>
      </c>
      <c r="F987" s="379">
        <f t="shared" si="57"/>
        <v>30</v>
      </c>
      <c r="G987" s="117">
        <f t="shared" si="58"/>
        <v>30</v>
      </c>
      <c r="H987" s="183"/>
    </row>
    <row r="988" spans="2:8" ht="17.25" customHeight="1" x14ac:dyDescent="0.25">
      <c r="B988" s="179"/>
      <c r="C988" s="119" t="s">
        <v>3399</v>
      </c>
      <c r="D988" s="169">
        <v>897000000</v>
      </c>
      <c r="E988" s="243"/>
      <c r="F988" s="379">
        <f t="shared" si="57"/>
        <v>0</v>
      </c>
      <c r="G988" s="117">
        <f t="shared" si="58"/>
        <v>0</v>
      </c>
      <c r="H988" s="183"/>
    </row>
    <row r="989" spans="2:8" ht="17.25" customHeight="1" x14ac:dyDescent="0.25">
      <c r="B989" s="179"/>
      <c r="C989" s="119" t="s">
        <v>3400</v>
      </c>
      <c r="D989" s="169">
        <v>503000000</v>
      </c>
      <c r="E989" s="243"/>
      <c r="F989" s="379">
        <f t="shared" si="57"/>
        <v>0</v>
      </c>
      <c r="G989" s="117">
        <f t="shared" si="58"/>
        <v>0</v>
      </c>
      <c r="H989" s="183"/>
    </row>
    <row r="990" spans="2:8" ht="17.25" customHeight="1" x14ac:dyDescent="0.25">
      <c r="B990" s="179"/>
      <c r="C990" s="217" t="s">
        <v>3401</v>
      </c>
      <c r="D990" s="168">
        <v>7526000000</v>
      </c>
      <c r="E990" s="242">
        <f>E991+E992+E993+E994+E995+E996</f>
        <v>1025000000</v>
      </c>
      <c r="F990" s="333">
        <f t="shared" si="57"/>
        <v>13.619452564443263</v>
      </c>
      <c r="G990" s="114">
        <f t="shared" si="58"/>
        <v>13.619452564443263</v>
      </c>
      <c r="H990" s="183"/>
    </row>
    <row r="991" spans="2:8" ht="17.25" customHeight="1" x14ac:dyDescent="0.25">
      <c r="B991" s="179"/>
      <c r="C991" s="119" t="s">
        <v>3402</v>
      </c>
      <c r="D991" s="169">
        <v>2880000000</v>
      </c>
      <c r="E991" s="243">
        <v>800000000</v>
      </c>
      <c r="F991" s="379">
        <f t="shared" si="57"/>
        <v>27.777777777777779</v>
      </c>
      <c r="G991" s="117">
        <f t="shared" si="58"/>
        <v>27.777777777777779</v>
      </c>
      <c r="H991" s="183"/>
    </row>
    <row r="992" spans="2:8" ht="17.25" customHeight="1" x14ac:dyDescent="0.25">
      <c r="B992" s="179"/>
      <c r="C992" s="119" t="s">
        <v>3403</v>
      </c>
      <c r="D992" s="169">
        <v>750000000</v>
      </c>
      <c r="E992" s="243">
        <v>225000000</v>
      </c>
      <c r="F992" s="379">
        <f t="shared" si="57"/>
        <v>30</v>
      </c>
      <c r="G992" s="117">
        <f t="shared" si="58"/>
        <v>30</v>
      </c>
      <c r="H992" s="183"/>
    </row>
    <row r="993" spans="2:8" ht="17.25" customHeight="1" x14ac:dyDescent="0.25">
      <c r="B993" s="179"/>
      <c r="C993" s="119" t="s">
        <v>3404</v>
      </c>
      <c r="D993" s="169">
        <v>1176000000</v>
      </c>
      <c r="E993" s="243"/>
      <c r="F993" s="379">
        <f t="shared" si="57"/>
        <v>0</v>
      </c>
      <c r="G993" s="117">
        <f t="shared" si="58"/>
        <v>0</v>
      </c>
      <c r="H993" s="183"/>
    </row>
    <row r="994" spans="2:8" ht="17.25" customHeight="1" x14ac:dyDescent="0.25">
      <c r="B994" s="179"/>
      <c r="C994" s="119" t="s">
        <v>3405</v>
      </c>
      <c r="D994" s="169">
        <v>1400000000</v>
      </c>
      <c r="E994" s="243"/>
      <c r="F994" s="379">
        <f t="shared" si="57"/>
        <v>0</v>
      </c>
      <c r="G994" s="117">
        <f t="shared" si="58"/>
        <v>0</v>
      </c>
      <c r="H994" s="183"/>
    </row>
    <row r="995" spans="2:8" ht="17.25" customHeight="1" x14ac:dyDescent="0.25">
      <c r="B995" s="179"/>
      <c r="C995" s="119" t="s">
        <v>3406</v>
      </c>
      <c r="D995" s="169">
        <v>500000000</v>
      </c>
      <c r="E995" s="243"/>
      <c r="F995" s="379">
        <f t="shared" si="57"/>
        <v>0</v>
      </c>
      <c r="G995" s="117">
        <f t="shared" si="58"/>
        <v>0</v>
      </c>
      <c r="H995" s="183"/>
    </row>
    <row r="996" spans="2:8" ht="17.25" customHeight="1" x14ac:dyDescent="0.25">
      <c r="B996" s="179"/>
      <c r="C996" s="119" t="s">
        <v>3407</v>
      </c>
      <c r="D996" s="169">
        <v>820000000</v>
      </c>
      <c r="E996" s="243"/>
      <c r="F996" s="379">
        <f t="shared" si="57"/>
        <v>0</v>
      </c>
      <c r="G996" s="117">
        <f t="shared" si="58"/>
        <v>0</v>
      </c>
      <c r="H996" s="183"/>
    </row>
    <row r="997" spans="2:8" ht="17.25" customHeight="1" x14ac:dyDescent="0.25">
      <c r="B997" s="179"/>
      <c r="C997" s="217" t="s">
        <v>720</v>
      </c>
      <c r="D997" s="168">
        <v>300000000</v>
      </c>
      <c r="E997" s="242">
        <f>E998</f>
        <v>90000000</v>
      </c>
      <c r="F997" s="333">
        <f t="shared" si="57"/>
        <v>30</v>
      </c>
      <c r="G997" s="114">
        <f t="shared" si="58"/>
        <v>30</v>
      </c>
      <c r="H997" s="183"/>
    </row>
    <row r="998" spans="2:8" ht="17.25" customHeight="1" x14ac:dyDescent="0.25">
      <c r="B998" s="179"/>
      <c r="C998" s="119" t="s">
        <v>3408</v>
      </c>
      <c r="D998" s="169">
        <v>300000000</v>
      </c>
      <c r="E998" s="243">
        <v>90000000</v>
      </c>
      <c r="F998" s="379">
        <f t="shared" si="57"/>
        <v>30</v>
      </c>
      <c r="G998" s="117">
        <f t="shared" si="58"/>
        <v>30</v>
      </c>
      <c r="H998" s="183"/>
    </row>
    <row r="999" spans="2:8" ht="17.25" customHeight="1" x14ac:dyDescent="0.25">
      <c r="B999" s="179"/>
      <c r="C999" s="217" t="s">
        <v>3409</v>
      </c>
      <c r="D999" s="168">
        <v>1254000000</v>
      </c>
      <c r="E999" s="242">
        <f>E1000</f>
        <v>0</v>
      </c>
      <c r="F999" s="333">
        <f t="shared" si="57"/>
        <v>0</v>
      </c>
      <c r="G999" s="114">
        <f t="shared" si="58"/>
        <v>0</v>
      </c>
      <c r="H999" s="183"/>
    </row>
    <row r="1000" spans="2:8" ht="17.25" customHeight="1" x14ac:dyDescent="0.25">
      <c r="B1000" s="179"/>
      <c r="C1000" s="119" t="s">
        <v>3410</v>
      </c>
      <c r="D1000" s="169">
        <v>1254000000</v>
      </c>
      <c r="E1000" s="243"/>
      <c r="F1000" s="379">
        <f t="shared" si="57"/>
        <v>0</v>
      </c>
      <c r="G1000" s="117">
        <f t="shared" si="58"/>
        <v>0</v>
      </c>
      <c r="H1000" s="183"/>
    </row>
    <row r="1001" spans="2:8" ht="17.25" customHeight="1" x14ac:dyDescent="0.25">
      <c r="B1001" s="179"/>
      <c r="C1001" s="196"/>
      <c r="D1001" s="169"/>
      <c r="E1001" s="169"/>
      <c r="F1001" s="195"/>
      <c r="G1001" s="114"/>
      <c r="H1001" s="183"/>
    </row>
    <row r="1002" spans="2:8" ht="17.25" customHeight="1" x14ac:dyDescent="0.25">
      <c r="B1002" s="179">
        <v>25</v>
      </c>
      <c r="C1002" s="180" t="s">
        <v>3475</v>
      </c>
      <c r="D1002" s="185">
        <f>D1003+D1018</f>
        <v>18016065000</v>
      </c>
      <c r="E1002" s="185">
        <f>E1003+E1018</f>
        <v>17016065000</v>
      </c>
      <c r="F1002" s="186">
        <f>+E1002/D1002*100</f>
        <v>94.449398356411351</v>
      </c>
      <c r="G1002" s="114">
        <f>(G1003+G1018)/2</f>
        <v>96.875</v>
      </c>
      <c r="H1002" s="183"/>
    </row>
    <row r="1003" spans="2:8" ht="17.25" customHeight="1" x14ac:dyDescent="0.25">
      <c r="B1003" s="179"/>
      <c r="C1003" s="121" t="s">
        <v>150</v>
      </c>
      <c r="D1003" s="112">
        <f>D1004+D1008+D1012+D1015</f>
        <v>15016065000</v>
      </c>
      <c r="E1003" s="242">
        <f>SUM(E1004,E1008,E1012,E1015)</f>
        <v>14016065000</v>
      </c>
      <c r="F1003" s="342">
        <f t="shared" ref="F1003:F1016" si="59">+E1003/D1003*100</f>
        <v>93.340465694574448</v>
      </c>
      <c r="G1003" s="340">
        <f>SUM(G1004,G1008,G1012,G1015)/4</f>
        <v>93.75</v>
      </c>
      <c r="H1003" s="183"/>
    </row>
    <row r="1004" spans="2:8" ht="17.25" customHeight="1" x14ac:dyDescent="0.25">
      <c r="B1004" s="179"/>
      <c r="C1004" s="217" t="s">
        <v>182</v>
      </c>
      <c r="D1004" s="256">
        <f>SUM(D1005:D1007)</f>
        <v>1970680000</v>
      </c>
      <c r="E1004" s="242">
        <f>SUM(E1005:E1007)</f>
        <v>1970680000</v>
      </c>
      <c r="F1004" s="342">
        <f t="shared" si="59"/>
        <v>100</v>
      </c>
      <c r="G1004" s="340">
        <f>SUM(G1005:G1007)/3</f>
        <v>100</v>
      </c>
      <c r="H1004" s="183"/>
    </row>
    <row r="1005" spans="2:8" ht="17.25" customHeight="1" x14ac:dyDescent="0.25">
      <c r="B1005" s="179"/>
      <c r="C1005" s="339" t="s">
        <v>3498</v>
      </c>
      <c r="D1005" s="172">
        <v>495800000</v>
      </c>
      <c r="E1005" s="243">
        <v>495800000</v>
      </c>
      <c r="F1005" s="343">
        <f t="shared" si="59"/>
        <v>100</v>
      </c>
      <c r="G1005" s="569">
        <f>+F1005</f>
        <v>100</v>
      </c>
      <c r="H1005" s="183"/>
    </row>
    <row r="1006" spans="2:8" ht="24.75" customHeight="1" x14ac:dyDescent="0.25">
      <c r="B1006" s="179"/>
      <c r="C1006" s="339" t="s">
        <v>3499</v>
      </c>
      <c r="D1006" s="172">
        <v>601880000</v>
      </c>
      <c r="E1006" s="243">
        <v>601880000</v>
      </c>
      <c r="F1006" s="343">
        <f t="shared" si="59"/>
        <v>100</v>
      </c>
      <c r="G1006" s="569">
        <f t="shared" ref="G1006:G1016" si="60">+F1006</f>
        <v>100</v>
      </c>
      <c r="H1006" s="183"/>
    </row>
    <row r="1007" spans="2:8" ht="17.25" customHeight="1" x14ac:dyDescent="0.25">
      <c r="B1007" s="179"/>
      <c r="C1007" s="339" t="s">
        <v>3500</v>
      </c>
      <c r="D1007" s="172">
        <v>873000000</v>
      </c>
      <c r="E1007" s="243">
        <v>873000000</v>
      </c>
      <c r="F1007" s="343">
        <f t="shared" si="59"/>
        <v>100</v>
      </c>
      <c r="G1007" s="569">
        <f t="shared" si="60"/>
        <v>100</v>
      </c>
      <c r="H1007" s="183"/>
    </row>
    <row r="1008" spans="2:8" ht="17.25" customHeight="1" x14ac:dyDescent="0.25">
      <c r="B1008" s="179"/>
      <c r="C1008" s="121" t="s">
        <v>166</v>
      </c>
      <c r="D1008" s="112">
        <f>SUM(D1009:D1011)</f>
        <v>8014008000</v>
      </c>
      <c r="E1008" s="242">
        <f>SUM(E1009:E1011)</f>
        <v>8014008000</v>
      </c>
      <c r="F1008" s="342">
        <f t="shared" si="59"/>
        <v>100</v>
      </c>
      <c r="G1008" s="569">
        <f t="shared" si="60"/>
        <v>100</v>
      </c>
      <c r="H1008" s="183"/>
    </row>
    <row r="1009" spans="2:8" ht="17.25" customHeight="1" x14ac:dyDescent="0.25">
      <c r="B1009" s="179"/>
      <c r="C1009" s="339" t="s">
        <v>3501</v>
      </c>
      <c r="D1009" s="172">
        <v>1000000000</v>
      </c>
      <c r="E1009" s="243">
        <v>1000000000</v>
      </c>
      <c r="F1009" s="343">
        <f t="shared" si="59"/>
        <v>100</v>
      </c>
      <c r="G1009" s="569">
        <f t="shared" si="60"/>
        <v>100</v>
      </c>
      <c r="H1009" s="183"/>
    </row>
    <row r="1010" spans="2:8" ht="17.25" customHeight="1" x14ac:dyDescent="0.25">
      <c r="B1010" s="179"/>
      <c r="C1010" s="339" t="s">
        <v>3502</v>
      </c>
      <c r="D1010" s="172">
        <v>3014008000</v>
      </c>
      <c r="E1010" s="243">
        <v>3014008000</v>
      </c>
      <c r="F1010" s="343">
        <f t="shared" si="59"/>
        <v>100</v>
      </c>
      <c r="G1010" s="569">
        <f t="shared" si="60"/>
        <v>100</v>
      </c>
      <c r="H1010" s="183"/>
    </row>
    <row r="1011" spans="2:8" ht="17.25" customHeight="1" x14ac:dyDescent="0.25">
      <c r="B1011" s="179"/>
      <c r="C1011" s="338" t="s">
        <v>3503</v>
      </c>
      <c r="D1011" s="172">
        <v>4000000000</v>
      </c>
      <c r="E1011" s="243">
        <v>4000000000</v>
      </c>
      <c r="F1011" s="343">
        <f t="shared" si="59"/>
        <v>100</v>
      </c>
      <c r="G1011" s="569">
        <f t="shared" si="60"/>
        <v>100</v>
      </c>
      <c r="H1011" s="183"/>
    </row>
    <row r="1012" spans="2:8" ht="17.25" customHeight="1" x14ac:dyDescent="0.25">
      <c r="B1012" s="179"/>
      <c r="C1012" s="121" t="s">
        <v>825</v>
      </c>
      <c r="D1012" s="112">
        <f>SUM(D1013:D1014)</f>
        <v>1031377000</v>
      </c>
      <c r="E1012" s="242">
        <f>SUM(E1013:E1014)</f>
        <v>1031377000</v>
      </c>
      <c r="F1012" s="342">
        <f t="shared" si="59"/>
        <v>100</v>
      </c>
      <c r="G1012" s="569">
        <f t="shared" si="60"/>
        <v>100</v>
      </c>
      <c r="H1012" s="183"/>
    </row>
    <row r="1013" spans="2:8" ht="17.25" customHeight="1" x14ac:dyDescent="0.25">
      <c r="B1013" s="179"/>
      <c r="C1013" s="339" t="s">
        <v>3504</v>
      </c>
      <c r="D1013" s="257">
        <v>635128000</v>
      </c>
      <c r="E1013" s="243">
        <v>635128000</v>
      </c>
      <c r="F1013" s="343">
        <f t="shared" si="59"/>
        <v>100</v>
      </c>
      <c r="G1013" s="569">
        <f t="shared" si="60"/>
        <v>100</v>
      </c>
      <c r="H1013" s="183"/>
    </row>
    <row r="1014" spans="2:8" ht="17.25" customHeight="1" x14ac:dyDescent="0.25">
      <c r="B1014" s="179"/>
      <c r="C1014" s="339" t="s">
        <v>3505</v>
      </c>
      <c r="D1014" s="257">
        <v>396249000</v>
      </c>
      <c r="E1014" s="243">
        <v>396249000</v>
      </c>
      <c r="F1014" s="343">
        <f t="shared" si="59"/>
        <v>100</v>
      </c>
      <c r="G1014" s="569">
        <f t="shared" si="60"/>
        <v>100</v>
      </c>
      <c r="H1014" s="183"/>
    </row>
    <row r="1015" spans="2:8" ht="17.25" customHeight="1" x14ac:dyDescent="0.25">
      <c r="B1015" s="179"/>
      <c r="C1015" s="121" t="s">
        <v>156</v>
      </c>
      <c r="D1015" s="256">
        <f>D1016</f>
        <v>4000000000</v>
      </c>
      <c r="E1015" s="242">
        <f>E1016</f>
        <v>3000000000</v>
      </c>
      <c r="F1015" s="342">
        <f t="shared" si="59"/>
        <v>75</v>
      </c>
      <c r="G1015" s="569">
        <f t="shared" si="60"/>
        <v>75</v>
      </c>
      <c r="H1015" s="183"/>
    </row>
    <row r="1016" spans="2:8" ht="17.25" customHeight="1" x14ac:dyDescent="0.25">
      <c r="B1016" s="179"/>
      <c r="C1016" s="339" t="s">
        <v>3506</v>
      </c>
      <c r="D1016" s="257">
        <v>4000000000</v>
      </c>
      <c r="E1016" s="243">
        <v>3000000000</v>
      </c>
      <c r="F1016" s="343">
        <f t="shared" si="59"/>
        <v>75</v>
      </c>
      <c r="G1016" s="569">
        <f t="shared" si="60"/>
        <v>75</v>
      </c>
      <c r="H1016" s="183"/>
    </row>
    <row r="1017" spans="2:8" ht="17.25" customHeight="1" x14ac:dyDescent="0.25">
      <c r="B1017" s="179"/>
      <c r="C1017" s="200"/>
      <c r="D1017" s="257"/>
      <c r="E1017" s="116"/>
      <c r="F1017" s="116"/>
      <c r="G1017" s="114"/>
      <c r="H1017" s="183"/>
    </row>
    <row r="1018" spans="2:8" s="154" customFormat="1" ht="17.25" customHeight="1" x14ac:dyDescent="0.25">
      <c r="B1018" s="184"/>
      <c r="C1018" s="732" t="s">
        <v>4039</v>
      </c>
      <c r="D1018" s="185">
        <v>3000000000</v>
      </c>
      <c r="E1018" s="541">
        <f t="shared" ref="E1018:G1019" si="61">E1019</f>
        <v>3000000000</v>
      </c>
      <c r="F1018" s="342">
        <f t="shared" ref="F1018:F1020" si="62">+E1018/D1018*100</f>
        <v>100</v>
      </c>
      <c r="G1018" s="340">
        <f t="shared" si="61"/>
        <v>100</v>
      </c>
      <c r="H1018" s="188"/>
    </row>
    <row r="1019" spans="2:8" s="154" customFormat="1" ht="17.25" customHeight="1" x14ac:dyDescent="0.25">
      <c r="B1019" s="184"/>
      <c r="C1019" s="732" t="s">
        <v>4040</v>
      </c>
      <c r="D1019" s="185">
        <v>3000000000</v>
      </c>
      <c r="E1019" s="541">
        <f t="shared" si="61"/>
        <v>3000000000</v>
      </c>
      <c r="F1019" s="342">
        <f t="shared" si="62"/>
        <v>100</v>
      </c>
      <c r="G1019" s="340">
        <f t="shared" si="61"/>
        <v>100</v>
      </c>
      <c r="H1019" s="188"/>
    </row>
    <row r="1020" spans="2:8" ht="17.25" customHeight="1" x14ac:dyDescent="0.25">
      <c r="B1020" s="179"/>
      <c r="C1020" s="200" t="s">
        <v>4041</v>
      </c>
      <c r="D1020" s="181">
        <v>3000000000</v>
      </c>
      <c r="E1020" s="243">
        <v>3000000000</v>
      </c>
      <c r="F1020" s="343">
        <f t="shared" si="62"/>
        <v>100</v>
      </c>
      <c r="G1020" s="569">
        <f t="shared" ref="G1020" si="63">+F1020</f>
        <v>100</v>
      </c>
      <c r="H1020" s="183"/>
    </row>
    <row r="1021" spans="2:8" ht="17.25" customHeight="1" x14ac:dyDescent="0.25">
      <c r="B1021" s="179"/>
      <c r="C1021" s="200"/>
      <c r="D1021" s="181"/>
      <c r="E1021" s="181"/>
      <c r="F1021" s="53"/>
      <c r="G1021" s="117"/>
      <c r="H1021" s="183"/>
    </row>
    <row r="1022" spans="2:8" ht="17.25" customHeight="1" x14ac:dyDescent="0.25">
      <c r="B1022" s="179">
        <v>26</v>
      </c>
      <c r="C1022" s="180" t="s">
        <v>3547</v>
      </c>
      <c r="D1022" s="120">
        <f>D1023+D1066</f>
        <v>16370948100</v>
      </c>
      <c r="E1022" s="120">
        <f>E1023+E1066</f>
        <v>15407693990</v>
      </c>
      <c r="F1022" s="195">
        <f>E1022/D1022*100</f>
        <v>94.116076209416363</v>
      </c>
      <c r="G1022" s="114">
        <f>(G1023+G1066)/2</f>
        <v>95.284249008644039</v>
      </c>
      <c r="H1022" s="183"/>
    </row>
    <row r="1023" spans="2:8" ht="17.25" customHeight="1" x14ac:dyDescent="0.25">
      <c r="B1023" s="179"/>
      <c r="C1023" s="121" t="s">
        <v>1020</v>
      </c>
      <c r="D1023" s="120">
        <f>+D1024+D1026+D1030+D1034+D1037+D1039+D1046+D1048+D1051+D1054+D1056+D1058+D1060+D1063</f>
        <v>10370948100</v>
      </c>
      <c r="E1023" s="113">
        <f>+E1024+E1026+E1030+E1034+E1037+E1039+E1046+E1048+E1051+E1054+E1058+E1060+E1063</f>
        <v>9428122600</v>
      </c>
      <c r="F1023" s="733">
        <f>E1023/D1023*100</f>
        <v>90.908974850621419</v>
      </c>
      <c r="G1023" s="569">
        <f t="shared" ref="G1023:G1075" si="64">+F1023</f>
        <v>90.908974850621419</v>
      </c>
      <c r="H1023" s="183"/>
    </row>
    <row r="1024" spans="2:8" ht="17.25" customHeight="1" x14ac:dyDescent="0.25">
      <c r="B1024" s="179"/>
      <c r="C1024" s="121" t="s">
        <v>156</v>
      </c>
      <c r="D1024" s="120">
        <f>SUM(D1025)</f>
        <v>2100000000</v>
      </c>
      <c r="E1024" s="113">
        <f>SUM(E1025)</f>
        <v>2095359600</v>
      </c>
      <c r="F1024" s="734">
        <f t="shared" ref="F1024:F1031" si="65">E1024/D1024*100</f>
        <v>99.779028571428569</v>
      </c>
      <c r="G1024" s="340">
        <f t="shared" si="64"/>
        <v>99.779028571428569</v>
      </c>
      <c r="H1024" s="183"/>
    </row>
    <row r="1025" spans="2:8" ht="17.25" customHeight="1" x14ac:dyDescent="0.25">
      <c r="B1025" s="179"/>
      <c r="C1025" s="118" t="s">
        <v>849</v>
      </c>
      <c r="D1025" s="107">
        <v>2100000000</v>
      </c>
      <c r="E1025" s="243">
        <v>2095359600</v>
      </c>
      <c r="F1025" s="734">
        <f t="shared" si="65"/>
        <v>99.779028571428569</v>
      </c>
      <c r="G1025" s="569">
        <f t="shared" si="64"/>
        <v>99.779028571428569</v>
      </c>
      <c r="H1025" s="183"/>
    </row>
    <row r="1026" spans="2:8" ht="17.25" customHeight="1" x14ac:dyDescent="0.25">
      <c r="B1026" s="179"/>
      <c r="C1026" s="249" t="s">
        <v>166</v>
      </c>
      <c r="D1026" s="120">
        <f>SUM(D1027:D1029)</f>
        <v>2091048100</v>
      </c>
      <c r="E1026" s="113">
        <f>SUM(E1027:E1029)</f>
        <v>2088500000</v>
      </c>
      <c r="F1026" s="734">
        <f t="shared" si="65"/>
        <v>99.878142449233948</v>
      </c>
      <c r="G1026" s="340">
        <f t="shared" si="64"/>
        <v>99.878142449233948</v>
      </c>
      <c r="H1026" s="183"/>
    </row>
    <row r="1027" spans="2:8" ht="17.25" customHeight="1" x14ac:dyDescent="0.25">
      <c r="B1027" s="179"/>
      <c r="C1027" s="118" t="s">
        <v>3314</v>
      </c>
      <c r="D1027" s="107">
        <v>470100000</v>
      </c>
      <c r="E1027" s="108">
        <v>470100000</v>
      </c>
      <c r="F1027" s="733">
        <f t="shared" si="65"/>
        <v>100</v>
      </c>
      <c r="G1027" s="569">
        <f t="shared" si="64"/>
        <v>100</v>
      </c>
      <c r="H1027" s="183"/>
    </row>
    <row r="1028" spans="2:8" ht="17.25" customHeight="1" x14ac:dyDescent="0.25">
      <c r="B1028" s="179"/>
      <c r="C1028" s="118" t="s">
        <v>3261</v>
      </c>
      <c r="D1028" s="107">
        <v>750000000</v>
      </c>
      <c r="E1028" s="243">
        <v>748200000</v>
      </c>
      <c r="F1028" s="733">
        <f>E1028/D1028*100</f>
        <v>99.76</v>
      </c>
      <c r="G1028" s="569">
        <f t="shared" si="64"/>
        <v>99.76</v>
      </c>
      <c r="H1028" s="183"/>
    </row>
    <row r="1029" spans="2:8" ht="17.25" customHeight="1" x14ac:dyDescent="0.25">
      <c r="B1029" s="179"/>
      <c r="C1029" s="118" t="s">
        <v>3576</v>
      </c>
      <c r="D1029" s="107">
        <v>870948100</v>
      </c>
      <c r="E1029" s="243">
        <v>870200000</v>
      </c>
      <c r="F1029" s="733">
        <f t="shared" si="65"/>
        <v>99.914105099947975</v>
      </c>
      <c r="G1029" s="569">
        <f t="shared" si="64"/>
        <v>99.914105099947975</v>
      </c>
      <c r="H1029" s="183"/>
    </row>
    <row r="1030" spans="2:8" ht="17.25" customHeight="1" x14ac:dyDescent="0.25">
      <c r="B1030" s="179"/>
      <c r="C1030" s="249" t="s">
        <v>705</v>
      </c>
      <c r="D1030" s="120">
        <f>SUM(D1031:D1033)</f>
        <v>795000000</v>
      </c>
      <c r="E1030" s="113">
        <f>SUM(E1031:E1033)</f>
        <v>541885000</v>
      </c>
      <c r="F1030" s="734">
        <f t="shared" si="65"/>
        <v>68.161635220125788</v>
      </c>
      <c r="G1030" s="340">
        <f t="shared" si="64"/>
        <v>68.161635220125788</v>
      </c>
      <c r="H1030" s="183"/>
    </row>
    <row r="1031" spans="2:8" ht="17.25" customHeight="1" x14ac:dyDescent="0.25">
      <c r="B1031" s="179"/>
      <c r="C1031" s="118" t="s">
        <v>3577</v>
      </c>
      <c r="D1031" s="107">
        <v>320000000</v>
      </c>
      <c r="E1031" s="108">
        <v>316885000</v>
      </c>
      <c r="F1031" s="733">
        <f t="shared" si="65"/>
        <v>99.026562499999997</v>
      </c>
      <c r="G1031" s="569">
        <f t="shared" si="64"/>
        <v>99.026562499999997</v>
      </c>
      <c r="H1031" s="183"/>
    </row>
    <row r="1032" spans="2:8" ht="17.25" customHeight="1" x14ac:dyDescent="0.25">
      <c r="B1032" s="179"/>
      <c r="C1032" s="118" t="s">
        <v>722</v>
      </c>
      <c r="D1032" s="107">
        <v>250000000</v>
      </c>
      <c r="E1032" s="108"/>
      <c r="F1032" s="111"/>
      <c r="G1032" s="569">
        <f t="shared" si="64"/>
        <v>0</v>
      </c>
      <c r="H1032" s="183"/>
    </row>
    <row r="1033" spans="2:8" ht="17.25" customHeight="1" x14ac:dyDescent="0.25">
      <c r="B1033" s="179"/>
      <c r="C1033" s="118" t="s">
        <v>3578</v>
      </c>
      <c r="D1033" s="107">
        <v>225000000</v>
      </c>
      <c r="E1033" s="243">
        <v>225000000</v>
      </c>
      <c r="F1033" s="733">
        <f>E1033/D1032*100</f>
        <v>90</v>
      </c>
      <c r="G1033" s="569">
        <f t="shared" si="64"/>
        <v>90</v>
      </c>
      <c r="H1033" s="183"/>
    </row>
    <row r="1034" spans="2:8" ht="17.25" customHeight="1" x14ac:dyDescent="0.25">
      <c r="B1034" s="179"/>
      <c r="C1034" s="249" t="s">
        <v>177</v>
      </c>
      <c r="D1034" s="120">
        <f>SUM(D1035:D1036)</f>
        <v>700000000</v>
      </c>
      <c r="E1034" s="113">
        <f>SUM(E1035:E1036)</f>
        <v>699968000</v>
      </c>
      <c r="F1034" s="734">
        <f t="shared" ref="F1034:F1047" si="66">E1034/D1034*100</f>
        <v>99.995428571428562</v>
      </c>
      <c r="G1034" s="340">
        <f t="shared" si="64"/>
        <v>99.995428571428562</v>
      </c>
      <c r="H1034" s="183"/>
    </row>
    <row r="1035" spans="2:8" ht="17.25" customHeight="1" x14ac:dyDescent="0.25">
      <c r="B1035" s="179"/>
      <c r="C1035" s="118" t="s">
        <v>3579</v>
      </c>
      <c r="D1035" s="107">
        <v>350000000</v>
      </c>
      <c r="E1035" s="243">
        <v>349984000</v>
      </c>
      <c r="F1035" s="733">
        <f t="shared" si="66"/>
        <v>99.995428571428562</v>
      </c>
      <c r="G1035" s="569">
        <f t="shared" si="64"/>
        <v>99.995428571428562</v>
      </c>
      <c r="H1035" s="183"/>
    </row>
    <row r="1036" spans="2:8" ht="17.25" customHeight="1" x14ac:dyDescent="0.25">
      <c r="B1036" s="179"/>
      <c r="C1036" s="118" t="s">
        <v>3580</v>
      </c>
      <c r="D1036" s="107">
        <v>350000000</v>
      </c>
      <c r="E1036" s="243">
        <v>349984000</v>
      </c>
      <c r="F1036" s="733">
        <f t="shared" si="66"/>
        <v>99.995428571428562</v>
      </c>
      <c r="G1036" s="569">
        <f t="shared" si="64"/>
        <v>99.995428571428562</v>
      </c>
      <c r="H1036" s="183"/>
    </row>
    <row r="1037" spans="2:8" ht="17.25" customHeight="1" x14ac:dyDescent="0.25">
      <c r="B1037" s="179"/>
      <c r="C1037" s="249" t="s">
        <v>179</v>
      </c>
      <c r="D1037" s="120">
        <f>SUM(D1038)</f>
        <v>175000000</v>
      </c>
      <c r="E1037" s="113">
        <f>SUM(E1038)</f>
        <v>175000000</v>
      </c>
      <c r="F1037" s="734">
        <f t="shared" si="66"/>
        <v>100</v>
      </c>
      <c r="G1037" s="340">
        <f t="shared" si="64"/>
        <v>100</v>
      </c>
      <c r="H1037" s="183"/>
    </row>
    <row r="1038" spans="2:8" ht="17.25" customHeight="1" x14ac:dyDescent="0.25">
      <c r="B1038" s="179"/>
      <c r="C1038" s="118" t="s">
        <v>3581</v>
      </c>
      <c r="D1038" s="344">
        <v>175000000</v>
      </c>
      <c r="E1038" s="345">
        <v>175000000</v>
      </c>
      <c r="F1038" s="733">
        <f t="shared" si="66"/>
        <v>100</v>
      </c>
      <c r="G1038" s="569">
        <f t="shared" si="64"/>
        <v>100</v>
      </c>
      <c r="H1038" s="183"/>
    </row>
    <row r="1039" spans="2:8" ht="17.25" customHeight="1" x14ac:dyDescent="0.25">
      <c r="B1039" s="179"/>
      <c r="C1039" s="249" t="s">
        <v>182</v>
      </c>
      <c r="D1039" s="120">
        <f>SUM(D1040:D1045)</f>
        <v>1385000000</v>
      </c>
      <c r="E1039" s="113">
        <f>SUM(E1040:E1045)</f>
        <v>1380680000</v>
      </c>
      <c r="F1039" s="734">
        <f t="shared" si="66"/>
        <v>99.688086642599288</v>
      </c>
      <c r="G1039" s="340">
        <f t="shared" si="64"/>
        <v>99.688086642599288</v>
      </c>
      <c r="H1039" s="183"/>
    </row>
    <row r="1040" spans="2:8" ht="17.25" customHeight="1" x14ac:dyDescent="0.25">
      <c r="B1040" s="179"/>
      <c r="C1040" s="118" t="s">
        <v>3582</v>
      </c>
      <c r="D1040" s="107">
        <v>275000000</v>
      </c>
      <c r="E1040" s="243">
        <v>272145000</v>
      </c>
      <c r="F1040" s="733">
        <f t="shared" si="66"/>
        <v>98.961818181818188</v>
      </c>
      <c r="G1040" s="569">
        <f t="shared" si="64"/>
        <v>98.961818181818188</v>
      </c>
      <c r="H1040" s="183"/>
    </row>
    <row r="1041" spans="2:8" ht="17.25" customHeight="1" x14ac:dyDescent="0.25">
      <c r="B1041" s="179"/>
      <c r="C1041" s="118" t="s">
        <v>3583</v>
      </c>
      <c r="D1041" s="107">
        <v>250000000</v>
      </c>
      <c r="E1041" s="108">
        <v>250000000</v>
      </c>
      <c r="F1041" s="733">
        <f t="shared" si="66"/>
        <v>100</v>
      </c>
      <c r="G1041" s="569">
        <f t="shared" si="64"/>
        <v>100</v>
      </c>
      <c r="H1041" s="183"/>
    </row>
    <row r="1042" spans="2:8" ht="17.25" customHeight="1" x14ac:dyDescent="0.25">
      <c r="B1042" s="179"/>
      <c r="C1042" s="118" t="s">
        <v>3584</v>
      </c>
      <c r="D1042" s="107">
        <v>275000000</v>
      </c>
      <c r="E1042" s="108">
        <v>275000000</v>
      </c>
      <c r="F1042" s="733">
        <f t="shared" si="66"/>
        <v>100</v>
      </c>
      <c r="G1042" s="569">
        <f t="shared" si="64"/>
        <v>100</v>
      </c>
      <c r="H1042" s="183"/>
    </row>
    <row r="1043" spans="2:8" ht="17.25" customHeight="1" x14ac:dyDescent="0.25">
      <c r="B1043" s="179"/>
      <c r="C1043" s="118" t="s">
        <v>3585</v>
      </c>
      <c r="D1043" s="107">
        <v>175000000</v>
      </c>
      <c r="E1043" s="243">
        <v>174915000</v>
      </c>
      <c r="F1043" s="733">
        <f t="shared" si="66"/>
        <v>99.951428571428565</v>
      </c>
      <c r="G1043" s="569">
        <f t="shared" si="64"/>
        <v>99.951428571428565</v>
      </c>
      <c r="H1043" s="183"/>
    </row>
    <row r="1044" spans="2:8" ht="17.25" customHeight="1" x14ac:dyDescent="0.25">
      <c r="B1044" s="179"/>
      <c r="C1044" s="118" t="s">
        <v>3586</v>
      </c>
      <c r="D1044" s="107">
        <v>225000000</v>
      </c>
      <c r="E1044" s="108">
        <v>223620000</v>
      </c>
      <c r="F1044" s="733">
        <f>E1044/D1044*100</f>
        <v>99.38666666666667</v>
      </c>
      <c r="G1044" s="569">
        <f t="shared" si="64"/>
        <v>99.38666666666667</v>
      </c>
      <c r="H1044" s="183"/>
    </row>
    <row r="1045" spans="2:8" ht="17.25" customHeight="1" x14ac:dyDescent="0.25">
      <c r="B1045" s="179"/>
      <c r="C1045" s="118" t="s">
        <v>3587</v>
      </c>
      <c r="D1045" s="107">
        <v>185000000</v>
      </c>
      <c r="E1045" s="108">
        <v>185000000</v>
      </c>
      <c r="F1045" s="733">
        <f t="shared" si="66"/>
        <v>100</v>
      </c>
      <c r="G1045" s="569">
        <f t="shared" si="64"/>
        <v>100</v>
      </c>
      <c r="H1045" s="183"/>
    </row>
    <row r="1046" spans="2:8" ht="35.25" customHeight="1" x14ac:dyDescent="0.25">
      <c r="B1046" s="179"/>
      <c r="C1046" s="249" t="s">
        <v>1402</v>
      </c>
      <c r="D1046" s="120">
        <f>SUM(D1047)</f>
        <v>150000000</v>
      </c>
      <c r="E1046" s="113">
        <f>SUM(E1047)</f>
        <v>150000000</v>
      </c>
      <c r="F1046" s="734">
        <f t="shared" si="66"/>
        <v>100</v>
      </c>
      <c r="G1046" s="340">
        <f t="shared" si="64"/>
        <v>100</v>
      </c>
      <c r="H1046" s="183"/>
    </row>
    <row r="1047" spans="2:8" ht="17.25" customHeight="1" x14ac:dyDescent="0.25">
      <c r="B1047" s="179"/>
      <c r="C1047" s="118" t="s">
        <v>3588</v>
      </c>
      <c r="D1047" s="107">
        <v>150000000</v>
      </c>
      <c r="E1047" s="108">
        <v>150000000</v>
      </c>
      <c r="F1047" s="733">
        <f t="shared" si="66"/>
        <v>100</v>
      </c>
      <c r="G1047" s="569">
        <f t="shared" si="64"/>
        <v>100</v>
      </c>
      <c r="H1047" s="183"/>
    </row>
    <row r="1048" spans="2:8" ht="17.25" customHeight="1" x14ac:dyDescent="0.25">
      <c r="B1048" s="179"/>
      <c r="C1048" s="249" t="s">
        <v>196</v>
      </c>
      <c r="D1048" s="120">
        <f>SUM(D1049:D1050)</f>
        <v>936000000</v>
      </c>
      <c r="E1048" s="113">
        <f>SUM(E1049:E1050)</f>
        <v>935720000</v>
      </c>
      <c r="F1048" s="734">
        <f>E1048/D1048*100</f>
        <v>99.970085470085465</v>
      </c>
      <c r="G1048" s="340">
        <f t="shared" si="64"/>
        <v>99.970085470085465</v>
      </c>
      <c r="H1048" s="183"/>
    </row>
    <row r="1049" spans="2:8" ht="17.25" customHeight="1" x14ac:dyDescent="0.25">
      <c r="B1049" s="179"/>
      <c r="C1049" s="118" t="s">
        <v>3200</v>
      </c>
      <c r="D1049" s="107">
        <v>225000000</v>
      </c>
      <c r="E1049" s="243">
        <v>224720000</v>
      </c>
      <c r="F1049" s="733">
        <f t="shared" ref="F1049:F1055" si="67">E1049/D1049*100</f>
        <v>99.87555555555555</v>
      </c>
      <c r="G1049" s="569">
        <f t="shared" si="64"/>
        <v>99.87555555555555</v>
      </c>
      <c r="H1049" s="183"/>
    </row>
    <row r="1050" spans="2:8" ht="17.25" customHeight="1" x14ac:dyDescent="0.25">
      <c r="B1050" s="179"/>
      <c r="C1050" s="118" t="s">
        <v>3589</v>
      </c>
      <c r="D1050" s="107">
        <v>711000000</v>
      </c>
      <c r="E1050" s="108">
        <v>711000000</v>
      </c>
      <c r="F1050" s="733">
        <f t="shared" si="67"/>
        <v>100</v>
      </c>
      <c r="G1050" s="569">
        <f t="shared" si="64"/>
        <v>100</v>
      </c>
      <c r="H1050" s="183"/>
    </row>
    <row r="1051" spans="2:8" ht="17.25" customHeight="1" x14ac:dyDescent="0.25">
      <c r="B1051" s="179"/>
      <c r="C1051" s="249" t="s">
        <v>1570</v>
      </c>
      <c r="D1051" s="120">
        <f>SUM(D1052:D1053)</f>
        <v>477400000</v>
      </c>
      <c r="E1051" s="113">
        <f>SUM(E1052:E1053)</f>
        <v>477400000</v>
      </c>
      <c r="F1051" s="734">
        <f t="shared" si="67"/>
        <v>100</v>
      </c>
      <c r="G1051" s="340">
        <f t="shared" si="64"/>
        <v>100</v>
      </c>
      <c r="H1051" s="183"/>
    </row>
    <row r="1052" spans="2:8" ht="17.25" customHeight="1" x14ac:dyDescent="0.25">
      <c r="B1052" s="179"/>
      <c r="C1052" s="118" t="s">
        <v>3590</v>
      </c>
      <c r="D1052" s="107">
        <v>250000000</v>
      </c>
      <c r="E1052" s="108">
        <v>250000000</v>
      </c>
      <c r="F1052" s="733">
        <f t="shared" si="67"/>
        <v>100</v>
      </c>
      <c r="G1052" s="569">
        <f t="shared" si="64"/>
        <v>100</v>
      </c>
      <c r="H1052" s="183"/>
    </row>
    <row r="1053" spans="2:8" ht="17.25" customHeight="1" x14ac:dyDescent="0.25">
      <c r="B1053" s="179"/>
      <c r="C1053" s="118" t="s">
        <v>3591</v>
      </c>
      <c r="D1053" s="107">
        <v>227400000</v>
      </c>
      <c r="E1053" s="108">
        <v>227400000</v>
      </c>
      <c r="F1053" s="733">
        <f t="shared" si="67"/>
        <v>100</v>
      </c>
      <c r="G1053" s="569">
        <f t="shared" si="64"/>
        <v>100</v>
      </c>
      <c r="H1053" s="183"/>
    </row>
    <row r="1054" spans="2:8" ht="17.25" customHeight="1" x14ac:dyDescent="0.25">
      <c r="B1054" s="179"/>
      <c r="C1054" s="249" t="s">
        <v>720</v>
      </c>
      <c r="D1054" s="120">
        <f>SUM(D1055)</f>
        <v>350000000</v>
      </c>
      <c r="E1054" s="113">
        <f>SUM(E1055:E1056)</f>
        <v>350000000</v>
      </c>
      <c r="F1054" s="734">
        <f t="shared" si="67"/>
        <v>100</v>
      </c>
      <c r="G1054" s="340">
        <f t="shared" si="64"/>
        <v>100</v>
      </c>
      <c r="H1054" s="183"/>
    </row>
    <row r="1055" spans="2:8" ht="17.25" customHeight="1" x14ac:dyDescent="0.25">
      <c r="B1055" s="179"/>
      <c r="C1055" s="118" t="s">
        <v>3203</v>
      </c>
      <c r="D1055" s="107">
        <v>350000000</v>
      </c>
      <c r="E1055" s="108">
        <v>350000000</v>
      </c>
      <c r="F1055" s="733">
        <f t="shared" si="67"/>
        <v>100</v>
      </c>
      <c r="G1055" s="569">
        <f t="shared" si="64"/>
        <v>100</v>
      </c>
      <c r="H1055" s="183"/>
    </row>
    <row r="1056" spans="2:8" ht="17.25" customHeight="1" x14ac:dyDescent="0.25">
      <c r="B1056" s="179"/>
      <c r="C1056" s="249" t="s">
        <v>1578</v>
      </c>
      <c r="D1056" s="120">
        <f>SUM(D1057)</f>
        <v>250000000</v>
      </c>
      <c r="E1056" s="113">
        <v>0</v>
      </c>
      <c r="F1056" s="734">
        <v>0</v>
      </c>
      <c r="G1056" s="340">
        <f t="shared" si="64"/>
        <v>0</v>
      </c>
      <c r="H1056" s="183"/>
    </row>
    <row r="1057" spans="2:8" ht="17.25" customHeight="1" x14ac:dyDescent="0.25">
      <c r="B1057" s="179"/>
      <c r="C1057" s="118" t="s">
        <v>3592</v>
      </c>
      <c r="D1057" s="107">
        <v>250000000</v>
      </c>
      <c r="E1057" s="242">
        <v>0</v>
      </c>
      <c r="F1057" s="733">
        <v>0</v>
      </c>
      <c r="G1057" s="569">
        <f t="shared" si="64"/>
        <v>0</v>
      </c>
      <c r="H1057" s="183"/>
    </row>
    <row r="1058" spans="2:8" ht="17.25" customHeight="1" x14ac:dyDescent="0.25">
      <c r="B1058" s="179"/>
      <c r="C1058" s="249" t="s">
        <v>213</v>
      </c>
      <c r="D1058" s="120">
        <f>SUM(D1059)</f>
        <v>175000000</v>
      </c>
      <c r="E1058" s="113">
        <v>174080000</v>
      </c>
      <c r="F1058" s="734">
        <v>99.474285714285713</v>
      </c>
      <c r="G1058" s="340">
        <f t="shared" si="64"/>
        <v>99.474285714285713</v>
      </c>
      <c r="H1058" s="183"/>
    </row>
    <row r="1059" spans="2:8" ht="17.25" customHeight="1" x14ac:dyDescent="0.25">
      <c r="B1059" s="179"/>
      <c r="C1059" s="118" t="s">
        <v>3593</v>
      </c>
      <c r="D1059" s="107">
        <v>175000000</v>
      </c>
      <c r="E1059" s="243">
        <v>174080000</v>
      </c>
      <c r="F1059" s="733">
        <v>99.474285714285713</v>
      </c>
      <c r="G1059" s="569">
        <f t="shared" si="64"/>
        <v>99.474285714285713</v>
      </c>
      <c r="H1059" s="183"/>
    </row>
    <row r="1060" spans="2:8" ht="17.25" customHeight="1" x14ac:dyDescent="0.25">
      <c r="B1060" s="179"/>
      <c r="C1060" s="249" t="s">
        <v>2099</v>
      </c>
      <c r="D1060" s="120">
        <f>SUM(D1061:D1062)</f>
        <v>635000000</v>
      </c>
      <c r="E1060" s="113">
        <v>359530000</v>
      </c>
      <c r="F1060" s="734">
        <v>99.86944444444444</v>
      </c>
      <c r="G1060" s="340">
        <f t="shared" si="64"/>
        <v>99.86944444444444</v>
      </c>
      <c r="H1060" s="183"/>
    </row>
    <row r="1061" spans="2:8" ht="17.25" customHeight="1" x14ac:dyDescent="0.25">
      <c r="B1061" s="179"/>
      <c r="C1061" s="118" t="s">
        <v>3594</v>
      </c>
      <c r="D1061" s="107">
        <v>275000000</v>
      </c>
      <c r="E1061" s="108"/>
      <c r="F1061" s="111"/>
      <c r="G1061" s="569">
        <f t="shared" si="64"/>
        <v>0</v>
      </c>
      <c r="H1061" s="183"/>
    </row>
    <row r="1062" spans="2:8" ht="17.25" customHeight="1" x14ac:dyDescent="0.25">
      <c r="B1062" s="179"/>
      <c r="C1062" s="118" t="s">
        <v>3595</v>
      </c>
      <c r="D1062" s="107">
        <v>360000000</v>
      </c>
      <c r="E1062" s="243">
        <v>359530000</v>
      </c>
      <c r="F1062" s="733">
        <v>99.86944444444444</v>
      </c>
      <c r="G1062" s="569">
        <f t="shared" si="64"/>
        <v>99.86944444444444</v>
      </c>
      <c r="H1062" s="183"/>
    </row>
    <row r="1063" spans="2:8" ht="17.25" customHeight="1" x14ac:dyDescent="0.25">
      <c r="B1063" s="179"/>
      <c r="C1063" s="249" t="s">
        <v>202</v>
      </c>
      <c r="D1063" s="120">
        <f>SUM(D1064)</f>
        <v>151500000</v>
      </c>
      <c r="E1063" s="242">
        <v>0</v>
      </c>
      <c r="F1063" s="734">
        <v>0</v>
      </c>
      <c r="G1063" s="340">
        <f t="shared" si="64"/>
        <v>0</v>
      </c>
      <c r="H1063" s="183"/>
    </row>
    <row r="1064" spans="2:8" ht="17.25" customHeight="1" x14ac:dyDescent="0.25">
      <c r="B1064" s="179"/>
      <c r="C1064" s="118" t="s">
        <v>3596</v>
      </c>
      <c r="D1064" s="107">
        <v>151500000</v>
      </c>
      <c r="E1064" s="243"/>
      <c r="F1064" s="733"/>
      <c r="G1064" s="569">
        <f t="shared" si="64"/>
        <v>0</v>
      </c>
      <c r="H1064" s="183"/>
    </row>
    <row r="1065" spans="2:8" ht="17.25" customHeight="1" x14ac:dyDescent="0.25">
      <c r="B1065" s="179"/>
      <c r="C1065" s="118"/>
      <c r="D1065" s="107"/>
      <c r="E1065" s="108"/>
      <c r="F1065" s="735"/>
      <c r="G1065" s="569"/>
      <c r="H1065" s="183"/>
    </row>
    <row r="1066" spans="2:8" ht="17.25" customHeight="1" x14ac:dyDescent="0.25">
      <c r="B1066" s="179"/>
      <c r="C1066" s="121" t="s">
        <v>2098</v>
      </c>
      <c r="D1066" s="120">
        <f>+D1067+D1070+D1074</f>
        <v>6000000000</v>
      </c>
      <c r="E1066" s="242">
        <f>E1067+E1070+E1074</f>
        <v>5979571390</v>
      </c>
      <c r="F1066" s="734">
        <f>E1066/D1066*100</f>
        <v>99.659523166666659</v>
      </c>
      <c r="G1066" s="340">
        <f t="shared" si="64"/>
        <v>99.659523166666659</v>
      </c>
      <c r="H1066" s="183"/>
    </row>
    <row r="1067" spans="2:8" ht="17.25" customHeight="1" x14ac:dyDescent="0.25">
      <c r="B1067" s="179"/>
      <c r="C1067" s="249" t="s">
        <v>825</v>
      </c>
      <c r="D1067" s="120">
        <f>SUM(D1068:D1069)</f>
        <v>1812750000</v>
      </c>
      <c r="E1067" s="113">
        <f>SUM(E1068:E1069)</f>
        <v>1811950000</v>
      </c>
      <c r="F1067" s="734">
        <f t="shared" ref="F1067:F1075" si="68">E1067/D1067*100</f>
        <v>99.955868156116395</v>
      </c>
      <c r="G1067" s="340">
        <f t="shared" si="64"/>
        <v>99.955868156116395</v>
      </c>
      <c r="H1067" s="183"/>
    </row>
    <row r="1068" spans="2:8" ht="17.25" customHeight="1" x14ac:dyDescent="0.25">
      <c r="B1068" s="179"/>
      <c r="C1068" s="111" t="s">
        <v>3597</v>
      </c>
      <c r="D1068" s="107">
        <v>1452000000</v>
      </c>
      <c r="E1068" s="243">
        <v>1451200000</v>
      </c>
      <c r="F1068" s="733">
        <f t="shared" si="68"/>
        <v>99.944903581267226</v>
      </c>
      <c r="G1068" s="569">
        <f t="shared" si="64"/>
        <v>99.944903581267226</v>
      </c>
      <c r="H1068" s="183"/>
    </row>
    <row r="1069" spans="2:8" ht="17.25" customHeight="1" x14ac:dyDescent="0.25">
      <c r="B1069" s="179"/>
      <c r="C1069" s="111" t="s">
        <v>3598</v>
      </c>
      <c r="D1069" s="107">
        <v>360750000</v>
      </c>
      <c r="E1069" s="243">
        <v>360750000</v>
      </c>
      <c r="F1069" s="733">
        <f t="shared" si="68"/>
        <v>100</v>
      </c>
      <c r="G1069" s="569">
        <f t="shared" si="64"/>
        <v>100</v>
      </c>
      <c r="H1069" s="183"/>
    </row>
    <row r="1070" spans="2:8" ht="32.25" customHeight="1" x14ac:dyDescent="0.25">
      <c r="B1070" s="179"/>
      <c r="C1070" s="249" t="s">
        <v>3599</v>
      </c>
      <c r="D1070" s="120">
        <f>SUM(D1071:D1073)</f>
        <v>3047250000</v>
      </c>
      <c r="E1070" s="220">
        <f>SUM(E1071:E1073)</f>
        <v>3030621390</v>
      </c>
      <c r="F1070" s="734">
        <f t="shared" si="68"/>
        <v>99.45430765444253</v>
      </c>
      <c r="G1070" s="340">
        <f t="shared" si="64"/>
        <v>99.45430765444253</v>
      </c>
      <c r="H1070" s="183"/>
    </row>
    <row r="1071" spans="2:8" ht="17.25" customHeight="1" x14ac:dyDescent="0.25">
      <c r="B1071" s="179"/>
      <c r="C1071" s="118" t="s">
        <v>3600</v>
      </c>
      <c r="D1071" s="107">
        <v>729000000</v>
      </c>
      <c r="E1071" s="243">
        <v>723321390</v>
      </c>
      <c r="F1071" s="733">
        <f t="shared" si="68"/>
        <v>99.221041152263382</v>
      </c>
      <c r="G1071" s="569">
        <f t="shared" si="64"/>
        <v>99.221041152263382</v>
      </c>
      <c r="H1071" s="183"/>
    </row>
    <row r="1072" spans="2:8" ht="17.25" customHeight="1" x14ac:dyDescent="0.25">
      <c r="B1072" s="179"/>
      <c r="C1072" s="118" t="s">
        <v>3601</v>
      </c>
      <c r="D1072" s="107">
        <v>1366776600</v>
      </c>
      <c r="E1072" s="243">
        <v>1359900000</v>
      </c>
      <c r="F1072" s="733">
        <f t="shared" si="68"/>
        <v>99.496874617256395</v>
      </c>
      <c r="G1072" s="569">
        <f t="shared" si="64"/>
        <v>99.496874617256395</v>
      </c>
      <c r="H1072" s="183"/>
    </row>
    <row r="1073" spans="2:8" ht="17.25" customHeight="1" x14ac:dyDescent="0.25">
      <c r="B1073" s="179"/>
      <c r="C1073" s="118" t="s">
        <v>3602</v>
      </c>
      <c r="D1073" s="107">
        <v>951473400</v>
      </c>
      <c r="E1073" s="243">
        <v>947400000</v>
      </c>
      <c r="F1073" s="733">
        <f t="shared" si="68"/>
        <v>99.57188503640775</v>
      </c>
      <c r="G1073" s="569">
        <f t="shared" si="64"/>
        <v>99.57188503640775</v>
      </c>
      <c r="H1073" s="183"/>
    </row>
    <row r="1074" spans="2:8" ht="17.25" customHeight="1" x14ac:dyDescent="0.25">
      <c r="B1074" s="179"/>
      <c r="C1074" s="249" t="s">
        <v>3401</v>
      </c>
      <c r="D1074" s="120">
        <f>D1075</f>
        <v>1140000000</v>
      </c>
      <c r="E1074" s="220">
        <f>E1075</f>
        <v>1137000000</v>
      </c>
      <c r="F1074" s="734">
        <f t="shared" si="68"/>
        <v>99.73684210526315</v>
      </c>
      <c r="G1074" s="340">
        <f t="shared" si="64"/>
        <v>99.73684210526315</v>
      </c>
      <c r="H1074" s="183"/>
    </row>
    <row r="1075" spans="2:8" ht="17.25" customHeight="1" x14ac:dyDescent="0.25">
      <c r="B1075" s="179"/>
      <c r="C1075" s="118" t="s">
        <v>3603</v>
      </c>
      <c r="D1075" s="107">
        <v>1140000000</v>
      </c>
      <c r="E1075" s="243">
        <v>1137000000</v>
      </c>
      <c r="F1075" s="733">
        <f t="shared" si="68"/>
        <v>99.73684210526315</v>
      </c>
      <c r="G1075" s="569">
        <f t="shared" si="64"/>
        <v>99.73684210526315</v>
      </c>
      <c r="H1075" s="183"/>
    </row>
    <row r="1076" spans="2:8" ht="9.75" customHeight="1" x14ac:dyDescent="0.25">
      <c r="B1076" s="179"/>
      <c r="C1076" s="196"/>
      <c r="D1076" s="181"/>
      <c r="E1076" s="181"/>
      <c r="F1076" s="53"/>
      <c r="G1076" s="117"/>
      <c r="H1076" s="183"/>
    </row>
    <row r="1077" spans="2:8" ht="17.25" customHeight="1" x14ac:dyDescent="0.25">
      <c r="B1077" s="184">
        <v>27</v>
      </c>
      <c r="C1077" s="180" t="s">
        <v>3674</v>
      </c>
      <c r="D1077" s="185">
        <f>D1078</f>
        <v>16573730400</v>
      </c>
      <c r="E1077" s="185">
        <f>E1078</f>
        <v>16133351000</v>
      </c>
      <c r="F1077" s="186">
        <f>E1077/D1077*100</f>
        <v>97.342907182802975</v>
      </c>
      <c r="G1077" s="114">
        <f>(G1078)/1</f>
        <v>100</v>
      </c>
      <c r="H1077" s="183"/>
    </row>
    <row r="1078" spans="2:8" s="80" customFormat="1" ht="17.25" customHeight="1" x14ac:dyDescent="0.25">
      <c r="B1078" s="109"/>
      <c r="C1078" s="545" t="s">
        <v>150</v>
      </c>
      <c r="D1078" s="348">
        <f>+D1079+D1081+D1084+D1088+D1092+D1097</f>
        <v>16573730400</v>
      </c>
      <c r="E1078" s="113">
        <f>+E1079+E1081+E1084+E1088+E1092+E1097</f>
        <v>16133351000</v>
      </c>
      <c r="F1078" s="736">
        <f>100*(E1078/D1078)</f>
        <v>97.342907182802975</v>
      </c>
      <c r="G1078" s="563">
        <v>100</v>
      </c>
      <c r="H1078" s="111"/>
    </row>
    <row r="1079" spans="2:8" s="80" customFormat="1" ht="17.25" customHeight="1" x14ac:dyDescent="0.25">
      <c r="B1079" s="109"/>
      <c r="C1079" s="545" t="s">
        <v>166</v>
      </c>
      <c r="D1079" s="348">
        <f>+D1080</f>
        <v>800000000</v>
      </c>
      <c r="E1079" s="113">
        <f>+E1080</f>
        <v>800000000</v>
      </c>
      <c r="F1079" s="736">
        <f>100*(E1079/D1079)</f>
        <v>100</v>
      </c>
      <c r="G1079" s="563">
        <f>+G1080</f>
        <v>100</v>
      </c>
      <c r="H1079" s="111"/>
    </row>
    <row r="1080" spans="2:8" s="80" customFormat="1" ht="17.25" customHeight="1" x14ac:dyDescent="0.25">
      <c r="B1080" s="109"/>
      <c r="C1080" s="547" t="s">
        <v>1023</v>
      </c>
      <c r="D1080" s="551">
        <v>800000000</v>
      </c>
      <c r="E1080" s="108">
        <v>800000000</v>
      </c>
      <c r="F1080" s="737">
        <f>100*(E1080/D1080)</f>
        <v>100</v>
      </c>
      <c r="G1080" s="565">
        <v>100</v>
      </c>
      <c r="H1080" s="111"/>
    </row>
    <row r="1081" spans="2:8" s="80" customFormat="1" ht="17.25" customHeight="1" x14ac:dyDescent="0.25">
      <c r="B1081" s="109"/>
      <c r="C1081" s="478" t="s">
        <v>177</v>
      </c>
      <c r="D1081" s="348">
        <f>+D1082+D1083</f>
        <v>800000000</v>
      </c>
      <c r="E1081" s="113">
        <f>+E1082+E1083</f>
        <v>785000000</v>
      </c>
      <c r="F1081" s="736">
        <f>+E1081/D1081*100</f>
        <v>98.125</v>
      </c>
      <c r="G1081" s="563">
        <f>SUM(G1082:G1083)/2</f>
        <v>100</v>
      </c>
      <c r="H1081" s="111"/>
    </row>
    <row r="1082" spans="2:8" s="80" customFormat="1" ht="17.25" customHeight="1" x14ac:dyDescent="0.25">
      <c r="B1082" s="109"/>
      <c r="C1082" s="547" t="s">
        <v>1033</v>
      </c>
      <c r="D1082" s="349">
        <v>500000000</v>
      </c>
      <c r="E1082" s="108">
        <v>492000000</v>
      </c>
      <c r="F1082" s="737">
        <f>100*(E1082/D1082)</f>
        <v>98.4</v>
      </c>
      <c r="G1082" s="565">
        <v>100</v>
      </c>
      <c r="H1082" s="111"/>
    </row>
    <row r="1083" spans="2:8" s="80" customFormat="1" ht="17.25" customHeight="1" x14ac:dyDescent="0.25">
      <c r="B1083" s="109"/>
      <c r="C1083" s="547" t="s">
        <v>3686</v>
      </c>
      <c r="D1083" s="349">
        <v>300000000</v>
      </c>
      <c r="E1083" s="108">
        <v>293000000</v>
      </c>
      <c r="F1083" s="737">
        <f>100*(E1083/D1083)</f>
        <v>97.666666666666671</v>
      </c>
      <c r="G1083" s="565">
        <v>100</v>
      </c>
      <c r="H1083" s="111"/>
    </row>
    <row r="1084" spans="2:8" s="80" customFormat="1" ht="17.25" customHeight="1" x14ac:dyDescent="0.25">
      <c r="B1084" s="109"/>
      <c r="C1084" s="478" t="s">
        <v>182</v>
      </c>
      <c r="D1084" s="348">
        <f>+D1085+D1086+D1087</f>
        <v>1107500000</v>
      </c>
      <c r="E1084" s="113">
        <f>+E1085+E1086+E1087</f>
        <v>1107500000</v>
      </c>
      <c r="F1084" s="736">
        <f>+E1084/D1084*100</f>
        <v>100</v>
      </c>
      <c r="G1084" s="563">
        <f>+G1085</f>
        <v>100</v>
      </c>
      <c r="H1084" s="111"/>
    </row>
    <row r="1085" spans="2:8" s="80" customFormat="1" ht="17.25" customHeight="1" x14ac:dyDescent="0.25">
      <c r="B1085" s="109"/>
      <c r="C1085" s="547" t="s">
        <v>839</v>
      </c>
      <c r="D1085" s="551">
        <v>357500000</v>
      </c>
      <c r="E1085" s="108">
        <v>357500000</v>
      </c>
      <c r="F1085" s="737">
        <f>100*(E1085/D1085)</f>
        <v>100</v>
      </c>
      <c r="G1085" s="565">
        <v>100</v>
      </c>
      <c r="H1085" s="111"/>
    </row>
    <row r="1086" spans="2:8" s="80" customFormat="1" ht="17.25" customHeight="1" x14ac:dyDescent="0.25">
      <c r="B1086" s="109"/>
      <c r="C1086" s="547" t="s">
        <v>3687</v>
      </c>
      <c r="D1086" s="551">
        <v>500000000</v>
      </c>
      <c r="E1086" s="108">
        <v>500000000</v>
      </c>
      <c r="F1086" s="737">
        <f>100*(E1086/D1086)</f>
        <v>100</v>
      </c>
      <c r="G1086" s="565">
        <v>100</v>
      </c>
      <c r="H1086" s="111"/>
    </row>
    <row r="1087" spans="2:8" s="80" customFormat="1" ht="15" customHeight="1" x14ac:dyDescent="0.25">
      <c r="B1087" s="109"/>
      <c r="C1087" s="547" t="s">
        <v>3688</v>
      </c>
      <c r="D1087" s="551">
        <v>250000000</v>
      </c>
      <c r="E1087" s="108">
        <v>250000000</v>
      </c>
      <c r="F1087" s="737">
        <f>100*(E1087/D1087)</f>
        <v>100</v>
      </c>
      <c r="G1087" s="565">
        <v>100</v>
      </c>
      <c r="H1087" s="111"/>
    </row>
    <row r="1088" spans="2:8" s="80" customFormat="1" ht="24" customHeight="1" x14ac:dyDescent="0.25">
      <c r="B1088" s="109"/>
      <c r="C1088" s="478" t="s">
        <v>1402</v>
      </c>
      <c r="D1088" s="348">
        <f>+D1089+D1090+D1091</f>
        <v>4466230400</v>
      </c>
      <c r="E1088" s="113">
        <f>+E1089+E1090+E1091</f>
        <v>4324418000</v>
      </c>
      <c r="F1088" s="736">
        <f>+E1088/D1088*100</f>
        <v>96.824785393964447</v>
      </c>
      <c r="G1088" s="563">
        <f>+F1088</f>
        <v>96.824785393964447</v>
      </c>
      <c r="H1088" s="111"/>
    </row>
    <row r="1089" spans="1:9" s="80" customFormat="1" ht="17.25" customHeight="1" x14ac:dyDescent="0.25">
      <c r="B1089" s="109"/>
      <c r="C1089" s="547" t="s">
        <v>3689</v>
      </c>
      <c r="D1089" s="551">
        <v>1500000000</v>
      </c>
      <c r="E1089" s="108">
        <v>1413395000</v>
      </c>
      <c r="F1089" s="737">
        <f>100*(E1089/D1089)</f>
        <v>94.226333333333329</v>
      </c>
      <c r="G1089" s="565">
        <v>100</v>
      </c>
      <c r="H1089" s="111"/>
    </row>
    <row r="1090" spans="1:9" s="80" customFormat="1" ht="17.25" customHeight="1" x14ac:dyDescent="0.25">
      <c r="B1090" s="109"/>
      <c r="C1090" s="547" t="s">
        <v>3690</v>
      </c>
      <c r="D1090" s="551">
        <v>1250000000</v>
      </c>
      <c r="E1090" s="108">
        <v>1200588000</v>
      </c>
      <c r="F1090" s="737">
        <f>100*(E1090/D1090)</f>
        <v>96.047039999999996</v>
      </c>
      <c r="G1090" s="565">
        <v>100</v>
      </c>
      <c r="H1090" s="111"/>
    </row>
    <row r="1091" spans="1:9" s="80" customFormat="1" ht="17.25" customHeight="1" x14ac:dyDescent="0.25">
      <c r="B1091" s="109"/>
      <c r="C1091" s="547" t="s">
        <v>3691</v>
      </c>
      <c r="D1091" s="551">
        <v>1716230400</v>
      </c>
      <c r="E1091" s="108">
        <v>1710435000</v>
      </c>
      <c r="F1091" s="737">
        <f>100*(E1091/D1091)</f>
        <v>99.662318066385495</v>
      </c>
      <c r="G1091" s="565">
        <v>100</v>
      </c>
      <c r="H1091" s="111"/>
    </row>
    <row r="1092" spans="1:9" s="80" customFormat="1" ht="17.25" customHeight="1" x14ac:dyDescent="0.25">
      <c r="B1092" s="109"/>
      <c r="C1092" s="478" t="s">
        <v>3692</v>
      </c>
      <c r="D1092" s="738">
        <f>+D1093+D1094+D1095+D1096</f>
        <v>9150000000</v>
      </c>
      <c r="E1092" s="113">
        <f>+E1093+E1094+E1095+E1096</f>
        <v>8866433000</v>
      </c>
      <c r="F1092" s="736">
        <f>+E1092/D1092*100</f>
        <v>96.900907103825134</v>
      </c>
      <c r="G1092" s="563">
        <f>+F1092</f>
        <v>96.900907103825134</v>
      </c>
      <c r="H1092" s="111"/>
    </row>
    <row r="1093" spans="1:9" s="80" customFormat="1" ht="17.25" customHeight="1" x14ac:dyDescent="0.25">
      <c r="B1093" s="109"/>
      <c r="C1093" s="547" t="s">
        <v>3693</v>
      </c>
      <c r="D1093" s="551">
        <v>3000000000</v>
      </c>
      <c r="E1093" s="108">
        <v>2986730000</v>
      </c>
      <c r="F1093" s="737">
        <f>100*(E1093/D1093)</f>
        <v>99.557666666666663</v>
      </c>
      <c r="G1093" s="565">
        <v>100</v>
      </c>
      <c r="H1093" s="111"/>
    </row>
    <row r="1094" spans="1:9" s="80" customFormat="1" ht="17.25" customHeight="1" x14ac:dyDescent="0.25">
      <c r="B1094" s="109"/>
      <c r="C1094" s="547" t="s">
        <v>235</v>
      </c>
      <c r="D1094" s="551">
        <v>300000000</v>
      </c>
      <c r="E1094" s="108">
        <v>299928000</v>
      </c>
      <c r="F1094" s="737">
        <f>100*(E1094/D1094)</f>
        <v>99.975999999999999</v>
      </c>
      <c r="G1094" s="565">
        <v>100</v>
      </c>
      <c r="H1094" s="111"/>
    </row>
    <row r="1095" spans="1:9" s="80" customFormat="1" ht="17.25" customHeight="1" x14ac:dyDescent="0.25">
      <c r="B1095" s="109"/>
      <c r="C1095" s="479" t="s">
        <v>3694</v>
      </c>
      <c r="D1095" s="551">
        <v>900000000</v>
      </c>
      <c r="E1095" s="108">
        <v>899000000</v>
      </c>
      <c r="F1095" s="737">
        <f>100*(E1095/D1095)</f>
        <v>99.8888888888889</v>
      </c>
      <c r="G1095" s="565">
        <v>100</v>
      </c>
      <c r="H1095" s="111"/>
    </row>
    <row r="1096" spans="1:9" s="80" customFormat="1" ht="17.25" customHeight="1" x14ac:dyDescent="0.25">
      <c r="B1096" s="109"/>
      <c r="C1096" s="547" t="s">
        <v>3695</v>
      </c>
      <c r="D1096" s="551">
        <v>4950000000</v>
      </c>
      <c r="E1096" s="108">
        <v>4680775000</v>
      </c>
      <c r="F1096" s="737">
        <f>100*(E1096/D1096)</f>
        <v>94.561111111111103</v>
      </c>
      <c r="G1096" s="565">
        <v>100</v>
      </c>
      <c r="H1096" s="111"/>
    </row>
    <row r="1097" spans="1:9" s="80" customFormat="1" ht="17.25" customHeight="1" x14ac:dyDescent="0.25">
      <c r="B1097" s="109"/>
      <c r="C1097" s="545" t="s">
        <v>3000</v>
      </c>
      <c r="D1097" s="738">
        <f>+D1098</f>
        <v>250000000</v>
      </c>
      <c r="E1097" s="113">
        <f>+E1098</f>
        <v>250000000</v>
      </c>
      <c r="F1097" s="736">
        <f>+F1098</f>
        <v>100</v>
      </c>
      <c r="G1097" s="563">
        <f>+G1098</f>
        <v>100</v>
      </c>
      <c r="H1097" s="111"/>
    </row>
    <row r="1098" spans="1:9" s="80" customFormat="1" ht="17.25" customHeight="1" x14ac:dyDescent="0.25">
      <c r="B1098" s="109"/>
      <c r="C1098" s="549" t="s">
        <v>3696</v>
      </c>
      <c r="D1098" s="349">
        <v>250000000</v>
      </c>
      <c r="E1098" s="108">
        <v>250000000</v>
      </c>
      <c r="F1098" s="737">
        <f>100*(E1098/D1098)</f>
        <v>100</v>
      </c>
      <c r="G1098" s="565">
        <v>100</v>
      </c>
      <c r="H1098" s="111"/>
    </row>
    <row r="1099" spans="1:9" s="80" customFormat="1" ht="12" customHeight="1" x14ac:dyDescent="0.25">
      <c r="B1099" s="109"/>
      <c r="C1099" s="172"/>
      <c r="D1099" s="349"/>
      <c r="E1099" s="349"/>
      <c r="F1099" s="737"/>
      <c r="G1099" s="565"/>
      <c r="H1099" s="111"/>
    </row>
    <row r="1100" spans="1:9" s="115" customFormat="1" ht="17.25" customHeight="1" x14ac:dyDescent="0.25">
      <c r="A1100" s="171"/>
      <c r="B1100" s="184">
        <v>28</v>
      </c>
      <c r="C1100" s="739" t="s">
        <v>4025</v>
      </c>
      <c r="D1100" s="120">
        <f>+D1101+D1128</f>
        <v>15635353950</v>
      </c>
      <c r="E1100" s="120">
        <f>E1101+E1128</f>
        <v>15619778950</v>
      </c>
      <c r="F1100" s="195">
        <f t="shared" ref="F1100:F1126" si="69">E1100/D1100*100</f>
        <v>99.900386009489722</v>
      </c>
      <c r="G1100" s="114">
        <f>(G1101+G1128)/2</f>
        <v>100</v>
      </c>
      <c r="H1100" s="121"/>
      <c r="I1100" s="324"/>
    </row>
    <row r="1101" spans="1:9" s="115" customFormat="1" ht="17.25" customHeight="1" x14ac:dyDescent="0.25">
      <c r="A1101" s="171"/>
      <c r="B1101" s="184"/>
      <c r="C1101" s="48" t="s">
        <v>150</v>
      </c>
      <c r="D1101" s="112">
        <f>+D1102+D1104+D1109+D1116+D1119+D1124</f>
        <v>8635353950</v>
      </c>
      <c r="E1101" s="242">
        <f>E1102+E1104+E1109+E1116+E1119+E1124</f>
        <v>8622253950</v>
      </c>
      <c r="F1101" s="333">
        <f t="shared" si="69"/>
        <v>99.848298053839471</v>
      </c>
      <c r="G1101" s="331">
        <v>100</v>
      </c>
      <c r="H1101" s="121"/>
    </row>
    <row r="1102" spans="1:9" s="80" customFormat="1" ht="17.25" customHeight="1" x14ac:dyDescent="0.25">
      <c r="A1102" s="170"/>
      <c r="B1102" s="179"/>
      <c r="C1102" s="48" t="s">
        <v>156</v>
      </c>
      <c r="D1102" s="112">
        <f>+D1103</f>
        <v>1000000000</v>
      </c>
      <c r="E1102" s="242">
        <f>E1103</f>
        <v>1000000000</v>
      </c>
      <c r="F1102" s="333">
        <f t="shared" si="69"/>
        <v>100</v>
      </c>
      <c r="G1102" s="331">
        <v>100</v>
      </c>
      <c r="H1102" s="111"/>
    </row>
    <row r="1103" spans="1:9" s="80" customFormat="1" ht="17.25" customHeight="1" x14ac:dyDescent="0.25">
      <c r="A1103" s="170"/>
      <c r="B1103" s="179"/>
      <c r="C1103" s="32" t="s">
        <v>849</v>
      </c>
      <c r="D1103" s="172">
        <v>1000000000</v>
      </c>
      <c r="E1103" s="243">
        <v>1000000000</v>
      </c>
      <c r="F1103" s="379">
        <f t="shared" si="69"/>
        <v>100</v>
      </c>
      <c r="G1103" s="365">
        <v>100</v>
      </c>
      <c r="H1103" s="111"/>
    </row>
    <row r="1104" spans="1:9" s="80" customFormat="1" ht="17.25" customHeight="1" x14ac:dyDescent="0.25">
      <c r="A1104" s="170"/>
      <c r="B1104" s="179"/>
      <c r="C1104" s="48" t="s">
        <v>166</v>
      </c>
      <c r="D1104" s="112">
        <f>+D1105+D1106+D1107+D1108</f>
        <v>1498000000</v>
      </c>
      <c r="E1104" s="242">
        <f>SUM(E1105:E1108)</f>
        <v>1498000000</v>
      </c>
      <c r="F1104" s="333">
        <f t="shared" si="69"/>
        <v>100</v>
      </c>
      <c r="G1104" s="331">
        <v>100</v>
      </c>
      <c r="H1104" s="111"/>
    </row>
    <row r="1105" spans="1:8" s="80" customFormat="1" ht="17.25" customHeight="1" x14ac:dyDescent="0.25">
      <c r="A1105" s="170"/>
      <c r="B1105" s="179"/>
      <c r="C1105" s="32" t="s">
        <v>3803</v>
      </c>
      <c r="D1105" s="172">
        <v>300000000</v>
      </c>
      <c r="E1105" s="243">
        <v>300000000</v>
      </c>
      <c r="F1105" s="379">
        <f t="shared" si="69"/>
        <v>100</v>
      </c>
      <c r="G1105" s="365">
        <v>100</v>
      </c>
      <c r="H1105" s="111"/>
    </row>
    <row r="1106" spans="1:8" s="80" customFormat="1" ht="17.25" customHeight="1" x14ac:dyDescent="0.25">
      <c r="A1106" s="170"/>
      <c r="B1106" s="179"/>
      <c r="C1106" s="32" t="s">
        <v>848</v>
      </c>
      <c r="D1106" s="172">
        <v>300000000</v>
      </c>
      <c r="E1106" s="243">
        <v>300000000</v>
      </c>
      <c r="F1106" s="379">
        <f t="shared" si="69"/>
        <v>100</v>
      </c>
      <c r="G1106" s="365">
        <v>100</v>
      </c>
      <c r="H1106" s="111"/>
    </row>
    <row r="1107" spans="1:8" s="80" customFormat="1" ht="17.25" customHeight="1" x14ac:dyDescent="0.25">
      <c r="A1107" s="170"/>
      <c r="B1107" s="179"/>
      <c r="C1107" s="32" t="s">
        <v>3804</v>
      </c>
      <c r="D1107" s="172">
        <v>398000000</v>
      </c>
      <c r="E1107" s="243">
        <v>398000000</v>
      </c>
      <c r="F1107" s="379">
        <f t="shared" si="69"/>
        <v>100</v>
      </c>
      <c r="G1107" s="365">
        <v>100</v>
      </c>
      <c r="H1107" s="111"/>
    </row>
    <row r="1108" spans="1:8" s="80" customFormat="1" ht="17.25" customHeight="1" x14ac:dyDescent="0.25">
      <c r="A1108" s="170"/>
      <c r="B1108" s="179"/>
      <c r="C1108" s="119" t="s">
        <v>3805</v>
      </c>
      <c r="D1108" s="172">
        <v>500000000</v>
      </c>
      <c r="E1108" s="243">
        <v>500000000</v>
      </c>
      <c r="F1108" s="379">
        <f t="shared" si="69"/>
        <v>100</v>
      </c>
      <c r="G1108" s="365">
        <v>100</v>
      </c>
      <c r="H1108" s="111"/>
    </row>
    <row r="1109" spans="1:8" s="115" customFormat="1" ht="17.25" customHeight="1" x14ac:dyDescent="0.25">
      <c r="A1109" s="171"/>
      <c r="B1109" s="184"/>
      <c r="C1109" s="48" t="s">
        <v>177</v>
      </c>
      <c r="D1109" s="112">
        <f>+D1110+D1111+D1112+D1113+D1114+D1115</f>
        <v>2284353950</v>
      </c>
      <c r="E1109" s="242">
        <f>SUM(E1110:E1115)</f>
        <v>2280953950</v>
      </c>
      <c r="F1109" s="333">
        <f t="shared" si="69"/>
        <v>99.85116141918374</v>
      </c>
      <c r="G1109" s="331">
        <v>100</v>
      </c>
      <c r="H1109" s="121"/>
    </row>
    <row r="1110" spans="1:8" s="80" customFormat="1" ht="17.25" customHeight="1" x14ac:dyDescent="0.25">
      <c r="A1110" s="170"/>
      <c r="B1110" s="179"/>
      <c r="C1110" s="32" t="s">
        <v>3806</v>
      </c>
      <c r="D1110" s="172">
        <v>350000000</v>
      </c>
      <c r="E1110" s="243">
        <v>349700000</v>
      </c>
      <c r="F1110" s="379">
        <f t="shared" si="69"/>
        <v>99.914285714285711</v>
      </c>
      <c r="G1110" s="365">
        <v>100</v>
      </c>
      <c r="H1110" s="111"/>
    </row>
    <row r="1111" spans="1:8" s="80" customFormat="1" ht="17.25" customHeight="1" x14ac:dyDescent="0.25">
      <c r="A1111" s="170"/>
      <c r="B1111" s="179"/>
      <c r="C1111" s="32" t="s">
        <v>3807</v>
      </c>
      <c r="D1111" s="172">
        <v>500000000</v>
      </c>
      <c r="E1111" s="243">
        <v>499500000</v>
      </c>
      <c r="F1111" s="379">
        <f t="shared" si="69"/>
        <v>99.9</v>
      </c>
      <c r="G1111" s="365">
        <v>100</v>
      </c>
      <c r="H1111" s="111"/>
    </row>
    <row r="1112" spans="1:8" s="80" customFormat="1" ht="17.25" customHeight="1" x14ac:dyDescent="0.25">
      <c r="A1112" s="170"/>
      <c r="B1112" s="179"/>
      <c r="C1112" s="32" t="s">
        <v>3808</v>
      </c>
      <c r="D1112" s="172">
        <v>350000000</v>
      </c>
      <c r="E1112" s="243">
        <v>347700000</v>
      </c>
      <c r="F1112" s="379">
        <f t="shared" si="69"/>
        <v>99.342857142857142</v>
      </c>
      <c r="G1112" s="365">
        <v>100</v>
      </c>
      <c r="H1112" s="111"/>
    </row>
    <row r="1113" spans="1:8" s="80" customFormat="1" ht="17.25" customHeight="1" x14ac:dyDescent="0.25">
      <c r="A1113" s="170"/>
      <c r="B1113" s="179"/>
      <c r="C1113" s="32" t="s">
        <v>3809</v>
      </c>
      <c r="D1113" s="172">
        <v>350000000</v>
      </c>
      <c r="E1113" s="243">
        <v>349700000</v>
      </c>
      <c r="F1113" s="379">
        <f t="shared" si="69"/>
        <v>99.914285714285711</v>
      </c>
      <c r="G1113" s="365">
        <v>100</v>
      </c>
      <c r="H1113" s="111"/>
    </row>
    <row r="1114" spans="1:8" s="80" customFormat="1" ht="29.25" customHeight="1" x14ac:dyDescent="0.25">
      <c r="A1114" s="170"/>
      <c r="B1114" s="179"/>
      <c r="C1114" s="119" t="s">
        <v>3810</v>
      </c>
      <c r="D1114" s="172">
        <v>350000000</v>
      </c>
      <c r="E1114" s="243">
        <v>350000000</v>
      </c>
      <c r="F1114" s="379">
        <f t="shared" si="69"/>
        <v>100</v>
      </c>
      <c r="G1114" s="365">
        <v>100</v>
      </c>
      <c r="H1114" s="111"/>
    </row>
    <row r="1115" spans="1:8" s="80" customFormat="1" ht="17.25" customHeight="1" x14ac:dyDescent="0.25">
      <c r="A1115" s="170"/>
      <c r="B1115" s="179"/>
      <c r="C1115" s="32" t="s">
        <v>3811</v>
      </c>
      <c r="D1115" s="172">
        <v>384353950</v>
      </c>
      <c r="E1115" s="243">
        <v>384353950</v>
      </c>
      <c r="F1115" s="379">
        <f t="shared" si="69"/>
        <v>100</v>
      </c>
      <c r="G1115" s="365">
        <v>100</v>
      </c>
      <c r="H1115" s="111"/>
    </row>
    <row r="1116" spans="1:8" s="80" customFormat="1" ht="17.25" customHeight="1" x14ac:dyDescent="0.25">
      <c r="A1116" s="170"/>
      <c r="B1116" s="179"/>
      <c r="C1116" s="48" t="s">
        <v>182</v>
      </c>
      <c r="D1116" s="112">
        <f>+D1117+D1118</f>
        <v>1100000000</v>
      </c>
      <c r="E1116" s="242">
        <f>SUM(E1117:E1118)</f>
        <v>1100000000</v>
      </c>
      <c r="F1116" s="333">
        <f t="shared" si="69"/>
        <v>100</v>
      </c>
      <c r="G1116" s="331">
        <v>100</v>
      </c>
      <c r="H1116" s="111"/>
    </row>
    <row r="1117" spans="1:8" s="80" customFormat="1" ht="17.25" customHeight="1" x14ac:dyDescent="0.25">
      <c r="A1117" s="170"/>
      <c r="B1117" s="179"/>
      <c r="C1117" s="32" t="s">
        <v>887</v>
      </c>
      <c r="D1117" s="172">
        <v>550000000</v>
      </c>
      <c r="E1117" s="243">
        <v>550000000</v>
      </c>
      <c r="F1117" s="379">
        <f t="shared" si="69"/>
        <v>100</v>
      </c>
      <c r="G1117" s="365">
        <v>100</v>
      </c>
      <c r="H1117" s="111"/>
    </row>
    <row r="1118" spans="1:8" s="80" customFormat="1" ht="18" customHeight="1" x14ac:dyDescent="0.25">
      <c r="A1118" s="170"/>
      <c r="B1118" s="179"/>
      <c r="C1118" s="32" t="s">
        <v>3812</v>
      </c>
      <c r="D1118" s="172">
        <v>550000000</v>
      </c>
      <c r="E1118" s="243">
        <v>550000000</v>
      </c>
      <c r="F1118" s="379">
        <f t="shared" si="69"/>
        <v>100</v>
      </c>
      <c r="G1118" s="365">
        <v>100</v>
      </c>
      <c r="H1118" s="111"/>
    </row>
    <row r="1119" spans="1:8" s="115" customFormat="1" ht="29.25" customHeight="1" x14ac:dyDescent="0.25">
      <c r="A1119" s="171"/>
      <c r="B1119" s="184"/>
      <c r="C1119" s="217" t="s">
        <v>1402</v>
      </c>
      <c r="D1119" s="112">
        <f>+D1120+D1121+D1122+D1123</f>
        <v>1803000000</v>
      </c>
      <c r="E1119" s="242">
        <f>SUM(E1120:E1123)</f>
        <v>1793300000</v>
      </c>
      <c r="F1119" s="333">
        <f t="shared" si="69"/>
        <v>99.462007764836386</v>
      </c>
      <c r="G1119" s="331">
        <v>100</v>
      </c>
      <c r="H1119" s="121"/>
    </row>
    <row r="1120" spans="1:8" s="80" customFormat="1" ht="17.25" customHeight="1" x14ac:dyDescent="0.25">
      <c r="A1120" s="170"/>
      <c r="B1120" s="179"/>
      <c r="C1120" s="353" t="s">
        <v>3813</v>
      </c>
      <c r="D1120" s="172">
        <v>500000000</v>
      </c>
      <c r="E1120" s="243">
        <v>497500000</v>
      </c>
      <c r="F1120" s="379">
        <f t="shared" si="69"/>
        <v>99.5</v>
      </c>
      <c r="G1120" s="365">
        <v>100</v>
      </c>
      <c r="H1120" s="111"/>
    </row>
    <row r="1121" spans="1:8" s="80" customFormat="1" ht="17.25" customHeight="1" x14ac:dyDescent="0.25">
      <c r="A1121" s="170"/>
      <c r="B1121" s="179"/>
      <c r="C1121" s="353" t="s">
        <v>3588</v>
      </c>
      <c r="D1121" s="172">
        <v>500000000</v>
      </c>
      <c r="E1121" s="243">
        <v>496800000</v>
      </c>
      <c r="F1121" s="379">
        <f t="shared" si="69"/>
        <v>99.36</v>
      </c>
      <c r="G1121" s="365">
        <v>100</v>
      </c>
      <c r="H1121" s="111"/>
    </row>
    <row r="1122" spans="1:8" s="80" customFormat="1" ht="17.25" customHeight="1" x14ac:dyDescent="0.25">
      <c r="A1122" s="170"/>
      <c r="B1122" s="179"/>
      <c r="C1122" s="353" t="s">
        <v>3814</v>
      </c>
      <c r="D1122" s="172">
        <v>500000000</v>
      </c>
      <c r="E1122" s="243">
        <v>498000000</v>
      </c>
      <c r="F1122" s="379">
        <f t="shared" si="69"/>
        <v>99.6</v>
      </c>
      <c r="G1122" s="365">
        <v>100</v>
      </c>
      <c r="H1122" s="111"/>
    </row>
    <row r="1123" spans="1:8" s="80" customFormat="1" ht="17.25" customHeight="1" x14ac:dyDescent="0.25">
      <c r="A1123" s="170"/>
      <c r="B1123" s="179"/>
      <c r="C1123" s="353" t="s">
        <v>3815</v>
      </c>
      <c r="D1123" s="172">
        <v>303000000</v>
      </c>
      <c r="E1123" s="243">
        <v>301000000</v>
      </c>
      <c r="F1123" s="379">
        <f t="shared" si="69"/>
        <v>99.339933993399342</v>
      </c>
      <c r="G1123" s="365">
        <v>100</v>
      </c>
      <c r="H1123" s="111"/>
    </row>
    <row r="1124" spans="1:8" s="80" customFormat="1" ht="17.25" customHeight="1" x14ac:dyDescent="0.25">
      <c r="A1124" s="170"/>
      <c r="B1124" s="179"/>
      <c r="C1124" s="48" t="s">
        <v>196</v>
      </c>
      <c r="D1124" s="112">
        <f>+D1125+D1126</f>
        <v>950000000</v>
      </c>
      <c r="E1124" s="242">
        <f>SUM(E1125:E1126)</f>
        <v>950000000</v>
      </c>
      <c r="F1124" s="333">
        <f t="shared" si="69"/>
        <v>100</v>
      </c>
      <c r="G1124" s="331">
        <v>100</v>
      </c>
      <c r="H1124" s="111"/>
    </row>
    <row r="1125" spans="1:8" s="80" customFormat="1" ht="17.25" customHeight="1" x14ac:dyDescent="0.25">
      <c r="A1125" s="170"/>
      <c r="B1125" s="179"/>
      <c r="C1125" s="32" t="s">
        <v>3816</v>
      </c>
      <c r="D1125" s="172">
        <v>600000000</v>
      </c>
      <c r="E1125" s="243">
        <v>600000000</v>
      </c>
      <c r="F1125" s="379">
        <f t="shared" si="69"/>
        <v>100</v>
      </c>
      <c r="G1125" s="365">
        <v>100</v>
      </c>
      <c r="H1125" s="111"/>
    </row>
    <row r="1126" spans="1:8" s="80" customFormat="1" ht="17.25" customHeight="1" x14ac:dyDescent="0.25">
      <c r="A1126" s="170"/>
      <c r="B1126" s="179"/>
      <c r="C1126" s="32" t="s">
        <v>3589</v>
      </c>
      <c r="D1126" s="172">
        <v>350000000</v>
      </c>
      <c r="E1126" s="243">
        <v>350000000</v>
      </c>
      <c r="F1126" s="379">
        <f t="shared" si="69"/>
        <v>100</v>
      </c>
      <c r="G1126" s="365">
        <v>100</v>
      </c>
      <c r="H1126" s="111"/>
    </row>
    <row r="1127" spans="1:8" s="80" customFormat="1" ht="12" customHeight="1" x14ac:dyDescent="0.25">
      <c r="A1127" s="170"/>
      <c r="B1127" s="179"/>
      <c r="C1127" s="234"/>
      <c r="D1127" s="172"/>
      <c r="E1127" s="108"/>
      <c r="F1127" s="687"/>
      <c r="G1127" s="114"/>
      <c r="H1127" s="111"/>
    </row>
    <row r="1128" spans="1:8" s="115" customFormat="1" ht="17.25" customHeight="1" x14ac:dyDescent="0.25">
      <c r="A1128" s="171"/>
      <c r="B1128" s="184"/>
      <c r="C1128" s="48" t="s">
        <v>3817</v>
      </c>
      <c r="D1128" s="112">
        <f>+D1129</f>
        <v>7000000000</v>
      </c>
      <c r="E1128" s="242">
        <f>E1129</f>
        <v>6997525000</v>
      </c>
      <c r="F1128" s="333">
        <f>E1128/D1128*100</f>
        <v>99.964642857142863</v>
      </c>
      <c r="G1128" s="331">
        <v>100</v>
      </c>
      <c r="H1128" s="121"/>
    </row>
    <row r="1129" spans="1:8" s="115" customFormat="1" ht="17.25" customHeight="1" x14ac:dyDescent="0.25">
      <c r="A1129" s="171"/>
      <c r="B1129" s="184"/>
      <c r="C1129" s="48" t="s">
        <v>166</v>
      </c>
      <c r="D1129" s="112">
        <f>+D1130</f>
        <v>7000000000</v>
      </c>
      <c r="E1129" s="242">
        <f>E1130</f>
        <v>6997525000</v>
      </c>
      <c r="F1129" s="333">
        <f>E1129/D1129*100</f>
        <v>99.964642857142863</v>
      </c>
      <c r="G1129" s="331">
        <v>100</v>
      </c>
      <c r="H1129" s="121"/>
    </row>
    <row r="1130" spans="1:8" s="80" customFormat="1" ht="17.25" customHeight="1" x14ac:dyDescent="0.25">
      <c r="A1130" s="170"/>
      <c r="B1130" s="179"/>
      <c r="C1130" s="32" t="s">
        <v>3818</v>
      </c>
      <c r="D1130" s="172">
        <v>7000000000</v>
      </c>
      <c r="E1130" s="243">
        <v>6997525000</v>
      </c>
      <c r="F1130" s="379">
        <f>E1130/D1130*100</f>
        <v>99.964642857142863</v>
      </c>
      <c r="G1130" s="365">
        <v>100</v>
      </c>
      <c r="H1130" s="111"/>
    </row>
    <row r="1131" spans="1:8" ht="12" customHeight="1" x14ac:dyDescent="0.25">
      <c r="B1131" s="179"/>
      <c r="C1131" s="196"/>
      <c r="D1131" s="181"/>
      <c r="E1131" s="181"/>
      <c r="F1131" s="53"/>
      <c r="G1131" s="117"/>
      <c r="H1131" s="183"/>
    </row>
    <row r="1132" spans="1:8" s="154" customFormat="1" ht="17.25" customHeight="1" x14ac:dyDescent="0.25">
      <c r="B1132" s="184">
        <v>29</v>
      </c>
      <c r="C1132" s="180" t="s">
        <v>3866</v>
      </c>
      <c r="D1132" s="168">
        <f>D1133</f>
        <v>14333257650</v>
      </c>
      <c r="E1132" s="120">
        <f>E1133</f>
        <v>13091089000</v>
      </c>
      <c r="F1132" s="195">
        <f>E1132/D1132*100</f>
        <v>91.333661332739666</v>
      </c>
      <c r="G1132" s="114">
        <f>G1133</f>
        <v>96.676666666666662</v>
      </c>
      <c r="H1132" s="188"/>
    </row>
    <row r="1133" spans="1:8" ht="17.25" customHeight="1" x14ac:dyDescent="0.25">
      <c r="B1133" s="740"/>
      <c r="C1133" s="741" t="s">
        <v>150</v>
      </c>
      <c r="D1133" s="742">
        <f>D1134+D1136+D1141+D1146+D1150+D1153+D1156+D1158+D1161+D1164+D1166+D1168</f>
        <v>14333257650</v>
      </c>
      <c r="E1133" s="743">
        <v>13091089000</v>
      </c>
      <c r="F1133" s="744">
        <v>91.333661332739666</v>
      </c>
      <c r="G1133" s="745">
        <v>96.676666666666662</v>
      </c>
      <c r="H1133" s="201"/>
    </row>
    <row r="1134" spans="1:8" ht="17.25" customHeight="1" x14ac:dyDescent="0.25">
      <c r="B1134" s="179"/>
      <c r="C1134" s="706" t="s">
        <v>156</v>
      </c>
      <c r="D1134" s="168">
        <f>SUM(D1135)</f>
        <v>398459650</v>
      </c>
      <c r="E1134" s="420">
        <v>398319000</v>
      </c>
      <c r="F1134" s="726">
        <v>99.964701570158994</v>
      </c>
      <c r="G1134" s="235">
        <v>100</v>
      </c>
      <c r="H1134" s="183"/>
    </row>
    <row r="1135" spans="1:8" ht="17.25" customHeight="1" x14ac:dyDescent="0.25">
      <c r="B1135" s="179"/>
      <c r="C1135" s="674" t="s">
        <v>3894</v>
      </c>
      <c r="D1135" s="169">
        <v>398459650</v>
      </c>
      <c r="E1135" s="420">
        <v>398319000</v>
      </c>
      <c r="F1135" s="726">
        <v>99.964701570158994</v>
      </c>
      <c r="G1135" s="235">
        <v>100</v>
      </c>
      <c r="H1135" s="183"/>
    </row>
    <row r="1136" spans="1:8" ht="17.25" customHeight="1" x14ac:dyDescent="0.25">
      <c r="B1136" s="179"/>
      <c r="C1136" s="706" t="s">
        <v>166</v>
      </c>
      <c r="D1136" s="168">
        <f>SUM(D1137:D1140)</f>
        <v>4100000000</v>
      </c>
      <c r="E1136" s="420">
        <v>3794154000</v>
      </c>
      <c r="F1136" s="726">
        <v>92.540341463414634</v>
      </c>
      <c r="G1136" s="235">
        <v>100</v>
      </c>
      <c r="H1136" s="183"/>
    </row>
    <row r="1137" spans="2:8" ht="17.25" customHeight="1" x14ac:dyDescent="0.25">
      <c r="B1137" s="179"/>
      <c r="C1137" s="674" t="s">
        <v>3895</v>
      </c>
      <c r="D1137" s="169">
        <v>1300000000</v>
      </c>
      <c r="E1137" s="420">
        <v>1175042000</v>
      </c>
      <c r="F1137" s="726">
        <v>90.387846153846155</v>
      </c>
      <c r="G1137" s="235">
        <v>100</v>
      </c>
      <c r="H1137" s="183"/>
    </row>
    <row r="1138" spans="2:8" ht="17.25" customHeight="1" x14ac:dyDescent="0.25">
      <c r="B1138" s="179"/>
      <c r="C1138" s="674" t="s">
        <v>3896</v>
      </c>
      <c r="D1138" s="169">
        <v>950000000</v>
      </c>
      <c r="E1138" s="420">
        <v>778052000</v>
      </c>
      <c r="F1138" s="726">
        <v>81.900210526315789</v>
      </c>
      <c r="G1138" s="235">
        <v>100</v>
      </c>
      <c r="H1138" s="183"/>
    </row>
    <row r="1139" spans="2:8" ht="17.25" customHeight="1" x14ac:dyDescent="0.25">
      <c r="B1139" s="179"/>
      <c r="C1139" s="674" t="s">
        <v>3897</v>
      </c>
      <c r="D1139" s="169">
        <v>250000000</v>
      </c>
      <c r="E1139" s="420">
        <v>246500000</v>
      </c>
      <c r="F1139" s="726">
        <v>98.6</v>
      </c>
      <c r="G1139" s="235">
        <v>100</v>
      </c>
      <c r="H1139" s="183"/>
    </row>
    <row r="1140" spans="2:8" ht="17.25" customHeight="1" x14ac:dyDescent="0.25">
      <c r="B1140" s="179"/>
      <c r="C1140" s="674" t="s">
        <v>3898</v>
      </c>
      <c r="D1140" s="169">
        <v>1600000000</v>
      </c>
      <c r="E1140" s="420">
        <v>1594560000</v>
      </c>
      <c r="F1140" s="726">
        <v>99.660000000000011</v>
      </c>
      <c r="G1140" s="235">
        <v>100</v>
      </c>
      <c r="H1140" s="183"/>
    </row>
    <row r="1141" spans="2:8" ht="17.25" customHeight="1" x14ac:dyDescent="0.25">
      <c r="B1141" s="179"/>
      <c r="C1141" s="706" t="s">
        <v>705</v>
      </c>
      <c r="D1141" s="168">
        <f>SUM(D1142:D1145)</f>
        <v>1675000000</v>
      </c>
      <c r="E1141" s="420">
        <v>1657941000</v>
      </c>
      <c r="F1141" s="726">
        <v>98.981552238805975</v>
      </c>
      <c r="G1141" s="235">
        <v>100</v>
      </c>
      <c r="H1141" s="183"/>
    </row>
    <row r="1142" spans="2:8" ht="17.25" customHeight="1" x14ac:dyDescent="0.25">
      <c r="B1142" s="179"/>
      <c r="C1142" s="674" t="s">
        <v>3899</v>
      </c>
      <c r="D1142" s="169">
        <v>220000000</v>
      </c>
      <c r="E1142" s="420">
        <v>220000000</v>
      </c>
      <c r="F1142" s="726">
        <v>100</v>
      </c>
      <c r="G1142" s="235">
        <v>100</v>
      </c>
      <c r="H1142" s="183"/>
    </row>
    <row r="1143" spans="2:8" ht="17.25" customHeight="1" x14ac:dyDescent="0.25">
      <c r="B1143" s="179"/>
      <c r="C1143" s="674" t="s">
        <v>3900</v>
      </c>
      <c r="D1143" s="169">
        <v>385000000</v>
      </c>
      <c r="E1143" s="420">
        <v>384843000</v>
      </c>
      <c r="F1143" s="726">
        <v>99.959220779220786</v>
      </c>
      <c r="G1143" s="235">
        <v>100</v>
      </c>
      <c r="H1143" s="183"/>
    </row>
    <row r="1144" spans="2:8" ht="17.25" customHeight="1" x14ac:dyDescent="0.25">
      <c r="B1144" s="179"/>
      <c r="C1144" s="674" t="s">
        <v>3901</v>
      </c>
      <c r="D1144" s="169">
        <v>300000000</v>
      </c>
      <c r="E1144" s="420">
        <v>283174000</v>
      </c>
      <c r="F1144" s="726">
        <v>94.391333333333336</v>
      </c>
      <c r="G1144" s="235">
        <v>100</v>
      </c>
      <c r="H1144" s="183"/>
    </row>
    <row r="1145" spans="2:8" ht="17.25" customHeight="1" x14ac:dyDescent="0.25">
      <c r="B1145" s="179"/>
      <c r="C1145" s="674" t="s">
        <v>1211</v>
      </c>
      <c r="D1145" s="169">
        <v>770000000</v>
      </c>
      <c r="E1145" s="420">
        <v>769924000</v>
      </c>
      <c r="F1145" s="726">
        <v>99.990129870129877</v>
      </c>
      <c r="G1145" s="235">
        <v>100</v>
      </c>
      <c r="H1145" s="183"/>
    </row>
    <row r="1146" spans="2:8" ht="17.25" customHeight="1" x14ac:dyDescent="0.25">
      <c r="B1146" s="179"/>
      <c r="C1146" s="706" t="s">
        <v>177</v>
      </c>
      <c r="D1146" s="168">
        <f>SUM(D1147:D1149)</f>
        <v>1100000000</v>
      </c>
      <c r="E1146" s="420">
        <v>710622000</v>
      </c>
      <c r="F1146" s="726">
        <v>64.602000000000004</v>
      </c>
      <c r="G1146" s="235">
        <v>89</v>
      </c>
      <c r="H1146" s="183"/>
    </row>
    <row r="1147" spans="2:8" ht="29.25" customHeight="1" x14ac:dyDescent="0.25">
      <c r="B1147" s="179"/>
      <c r="C1147" s="674" t="s">
        <v>3902</v>
      </c>
      <c r="D1147" s="169">
        <v>580000000</v>
      </c>
      <c r="E1147" s="420">
        <v>190622000</v>
      </c>
      <c r="F1147" s="726">
        <v>32.865862068965519</v>
      </c>
      <c r="G1147" s="235">
        <v>67</v>
      </c>
      <c r="H1147" s="183"/>
    </row>
    <row r="1148" spans="2:8" ht="17.25" customHeight="1" x14ac:dyDescent="0.25">
      <c r="B1148" s="179"/>
      <c r="C1148" s="674" t="s">
        <v>3903</v>
      </c>
      <c r="D1148" s="169">
        <v>220000000</v>
      </c>
      <c r="E1148" s="420">
        <v>220000000</v>
      </c>
      <c r="F1148" s="726">
        <v>100</v>
      </c>
      <c r="G1148" s="235">
        <v>100</v>
      </c>
      <c r="H1148" s="183"/>
    </row>
    <row r="1149" spans="2:8" ht="17.25" customHeight="1" x14ac:dyDescent="0.25">
      <c r="B1149" s="179"/>
      <c r="C1149" s="674" t="s">
        <v>3904</v>
      </c>
      <c r="D1149" s="169">
        <v>300000000</v>
      </c>
      <c r="E1149" s="420">
        <v>300000000</v>
      </c>
      <c r="F1149" s="726">
        <v>100</v>
      </c>
      <c r="G1149" s="235">
        <v>100</v>
      </c>
      <c r="H1149" s="183"/>
    </row>
    <row r="1150" spans="2:8" ht="17.25" customHeight="1" x14ac:dyDescent="0.25">
      <c r="B1150" s="179"/>
      <c r="C1150" s="706" t="s">
        <v>179</v>
      </c>
      <c r="D1150" s="168">
        <f>SUM(D1151:D1152)</f>
        <v>814000000</v>
      </c>
      <c r="E1150" s="420">
        <v>809600000</v>
      </c>
      <c r="F1150" s="726">
        <v>99.459459459459467</v>
      </c>
      <c r="G1150" s="235">
        <v>100</v>
      </c>
      <c r="H1150" s="183"/>
    </row>
    <row r="1151" spans="2:8" ht="17.25" customHeight="1" x14ac:dyDescent="0.25">
      <c r="B1151" s="179"/>
      <c r="C1151" s="674" t="s">
        <v>3905</v>
      </c>
      <c r="D1151" s="169">
        <v>204000000</v>
      </c>
      <c r="E1151" s="420">
        <v>204000000</v>
      </c>
      <c r="F1151" s="726">
        <v>100</v>
      </c>
      <c r="G1151" s="235">
        <v>100</v>
      </c>
      <c r="H1151" s="183"/>
    </row>
    <row r="1152" spans="2:8" ht="17.25" customHeight="1" x14ac:dyDescent="0.25">
      <c r="B1152" s="179"/>
      <c r="C1152" s="674" t="s">
        <v>3906</v>
      </c>
      <c r="D1152" s="169">
        <v>610000000</v>
      </c>
      <c r="E1152" s="420">
        <v>605600000</v>
      </c>
      <c r="F1152" s="726">
        <v>99.278688524590166</v>
      </c>
      <c r="G1152" s="235">
        <v>100</v>
      </c>
      <c r="H1152" s="183"/>
    </row>
    <row r="1153" spans="2:8" ht="17.25" customHeight="1" x14ac:dyDescent="0.25">
      <c r="B1153" s="179"/>
      <c r="C1153" s="706" t="s">
        <v>182</v>
      </c>
      <c r="D1153" s="168">
        <f>SUM(D1154:D1155)</f>
        <v>1210798000</v>
      </c>
      <c r="E1153" s="420">
        <v>1195498000</v>
      </c>
      <c r="F1153" s="726">
        <v>98.736370558920655</v>
      </c>
      <c r="G1153" s="235">
        <v>100</v>
      </c>
      <c r="H1153" s="183"/>
    </row>
    <row r="1154" spans="2:8" ht="17.25" customHeight="1" x14ac:dyDescent="0.25">
      <c r="B1154" s="179"/>
      <c r="C1154" s="674" t="s">
        <v>3907</v>
      </c>
      <c r="D1154" s="169">
        <v>400000000</v>
      </c>
      <c r="E1154" s="420">
        <v>388100000</v>
      </c>
      <c r="F1154" s="726">
        <v>97.024999999999991</v>
      </c>
      <c r="G1154" s="235">
        <v>100</v>
      </c>
      <c r="H1154" s="183"/>
    </row>
    <row r="1155" spans="2:8" ht="19.5" customHeight="1" x14ac:dyDescent="0.25">
      <c r="B1155" s="179"/>
      <c r="C1155" s="674" t="s">
        <v>3908</v>
      </c>
      <c r="D1155" s="169">
        <v>810798000</v>
      </c>
      <c r="E1155" s="420">
        <v>807398000</v>
      </c>
      <c r="F1155" s="726">
        <v>99.580660041095314</v>
      </c>
      <c r="G1155" s="235">
        <v>100</v>
      </c>
      <c r="H1155" s="183"/>
    </row>
    <row r="1156" spans="2:8" ht="17.25" customHeight="1" x14ac:dyDescent="0.25">
      <c r="B1156" s="179"/>
      <c r="C1156" s="706" t="s">
        <v>1737</v>
      </c>
      <c r="D1156" s="168">
        <f>SUM(D1157:D1157)</f>
        <v>550000000</v>
      </c>
      <c r="E1156" s="420">
        <v>512545000</v>
      </c>
      <c r="F1156" s="726">
        <v>93.19</v>
      </c>
      <c r="G1156" s="235">
        <v>100</v>
      </c>
      <c r="H1156" s="183"/>
    </row>
    <row r="1157" spans="2:8" ht="17.25" customHeight="1" x14ac:dyDescent="0.25">
      <c r="B1157" s="179"/>
      <c r="C1157" s="674" t="s">
        <v>3909</v>
      </c>
      <c r="D1157" s="169">
        <v>550000000</v>
      </c>
      <c r="E1157" s="420">
        <v>512545000</v>
      </c>
      <c r="F1157" s="726">
        <v>93.19</v>
      </c>
      <c r="G1157" s="235">
        <v>100</v>
      </c>
      <c r="H1157" s="183"/>
    </row>
    <row r="1158" spans="2:8" ht="17.25" customHeight="1" x14ac:dyDescent="0.25">
      <c r="B1158" s="179"/>
      <c r="C1158" s="674" t="s">
        <v>3401</v>
      </c>
      <c r="D1158" s="168">
        <f>SUM(D1159:D1160)</f>
        <v>1550000000</v>
      </c>
      <c r="E1158" s="420">
        <v>1441465000</v>
      </c>
      <c r="F1158" s="726">
        <v>92.997741935483873</v>
      </c>
      <c r="G1158" s="235">
        <v>100</v>
      </c>
      <c r="H1158" s="183"/>
    </row>
    <row r="1159" spans="2:8" ht="17.25" customHeight="1" x14ac:dyDescent="0.25">
      <c r="B1159" s="179"/>
      <c r="C1159" s="674" t="s">
        <v>3910</v>
      </c>
      <c r="D1159" s="169">
        <v>850000000</v>
      </c>
      <c r="E1159" s="420">
        <v>831430000</v>
      </c>
      <c r="F1159" s="726">
        <v>97.815294117647056</v>
      </c>
      <c r="G1159" s="235">
        <v>100</v>
      </c>
      <c r="H1159" s="183"/>
    </row>
    <row r="1160" spans="2:8" ht="17.25" customHeight="1" x14ac:dyDescent="0.25">
      <c r="B1160" s="179"/>
      <c r="C1160" s="674" t="s">
        <v>3911</v>
      </c>
      <c r="D1160" s="169">
        <v>700000000</v>
      </c>
      <c r="E1160" s="420">
        <v>610035000</v>
      </c>
      <c r="F1160" s="726">
        <v>87.147857142857148</v>
      </c>
      <c r="G1160" s="235">
        <v>100</v>
      </c>
      <c r="H1160" s="183"/>
    </row>
    <row r="1161" spans="2:8" ht="17.25" customHeight="1" x14ac:dyDescent="0.25">
      <c r="B1161" s="179"/>
      <c r="C1161" s="706" t="s">
        <v>196</v>
      </c>
      <c r="D1161" s="168">
        <f>SUM(D1162:D1163)</f>
        <v>730000000</v>
      </c>
      <c r="E1161" s="420">
        <v>692305000</v>
      </c>
      <c r="F1161" s="726">
        <v>94.836301369863023</v>
      </c>
      <c r="G1161" s="235">
        <v>100</v>
      </c>
      <c r="H1161" s="183"/>
    </row>
    <row r="1162" spans="2:8" ht="17.25" customHeight="1" x14ac:dyDescent="0.25">
      <c r="B1162" s="179"/>
      <c r="C1162" s="674" t="s">
        <v>3912</v>
      </c>
      <c r="D1162" s="169">
        <v>400000000</v>
      </c>
      <c r="E1162" s="420">
        <v>399805000</v>
      </c>
      <c r="F1162" s="726">
        <v>99.951250000000002</v>
      </c>
      <c r="G1162" s="235">
        <v>100</v>
      </c>
      <c r="H1162" s="183"/>
    </row>
    <row r="1163" spans="2:8" ht="17.25" customHeight="1" x14ac:dyDescent="0.25">
      <c r="B1163" s="179"/>
      <c r="C1163" s="674" t="s">
        <v>3913</v>
      </c>
      <c r="D1163" s="169">
        <v>330000000</v>
      </c>
      <c r="E1163" s="420">
        <v>292500000</v>
      </c>
      <c r="F1163" s="726">
        <v>88.63636363636364</v>
      </c>
      <c r="G1163" s="235">
        <v>100</v>
      </c>
      <c r="H1163" s="183"/>
    </row>
    <row r="1164" spans="2:8" ht="17.25" customHeight="1" x14ac:dyDescent="0.25">
      <c r="B1164" s="179"/>
      <c r="C1164" s="706" t="s">
        <v>1570</v>
      </c>
      <c r="D1164" s="168">
        <f>D1165</f>
        <v>600000000</v>
      </c>
      <c r="E1164" s="420">
        <v>599935000</v>
      </c>
      <c r="F1164" s="726">
        <v>99.989166666666662</v>
      </c>
      <c r="G1164" s="235">
        <v>100</v>
      </c>
      <c r="H1164" s="183"/>
    </row>
    <row r="1165" spans="2:8" ht="17.25" customHeight="1" x14ac:dyDescent="0.25">
      <c r="B1165" s="179"/>
      <c r="C1165" s="674" t="s">
        <v>3914</v>
      </c>
      <c r="D1165" s="169">
        <v>600000000</v>
      </c>
      <c r="E1165" s="420">
        <v>599935000</v>
      </c>
      <c r="F1165" s="726">
        <v>99.989166666666662</v>
      </c>
      <c r="G1165" s="235">
        <v>100</v>
      </c>
      <c r="H1165" s="183"/>
    </row>
    <row r="1166" spans="2:8" ht="17.25" customHeight="1" x14ac:dyDescent="0.25">
      <c r="B1166" s="179"/>
      <c r="C1166" s="706" t="s">
        <v>720</v>
      </c>
      <c r="D1166" s="168">
        <f>D1167</f>
        <v>1000000000</v>
      </c>
      <c r="E1166" s="420">
        <v>674705000</v>
      </c>
      <c r="F1166" s="726">
        <v>67.470500000000001</v>
      </c>
      <c r="G1166" s="235">
        <v>71.12</v>
      </c>
      <c r="H1166" s="183"/>
    </row>
    <row r="1167" spans="2:8" ht="17.25" customHeight="1" x14ac:dyDescent="0.25">
      <c r="B1167" s="179"/>
      <c r="C1167" s="674" t="s">
        <v>3323</v>
      </c>
      <c r="D1167" s="169">
        <v>1000000000</v>
      </c>
      <c r="E1167" s="420">
        <v>674705000</v>
      </c>
      <c r="F1167" s="726">
        <v>67.470500000000001</v>
      </c>
      <c r="G1167" s="235">
        <v>71.12</v>
      </c>
      <c r="H1167" s="183"/>
    </row>
    <row r="1168" spans="2:8" ht="17.25" customHeight="1" x14ac:dyDescent="0.25">
      <c r="B1168" s="179"/>
      <c r="C1168" s="674" t="s">
        <v>3915</v>
      </c>
      <c r="D1168" s="169">
        <f>D1169</f>
        <v>605000000</v>
      </c>
      <c r="E1168" s="420">
        <v>604000000</v>
      </c>
      <c r="F1168" s="726">
        <v>99.834710743801651</v>
      </c>
      <c r="G1168" s="235">
        <v>100</v>
      </c>
      <c r="H1168" s="183"/>
    </row>
    <row r="1169" spans="2:8" ht="17.25" customHeight="1" x14ac:dyDescent="0.25">
      <c r="B1169" s="179"/>
      <c r="C1169" s="674" t="s">
        <v>3916</v>
      </c>
      <c r="D1169" s="169">
        <v>605000000</v>
      </c>
      <c r="E1169" s="420">
        <v>604000000</v>
      </c>
      <c r="F1169" s="726">
        <v>99.834710743801651</v>
      </c>
      <c r="G1169" s="235">
        <v>100</v>
      </c>
      <c r="H1169" s="183"/>
    </row>
    <row r="1170" spans="2:8" ht="12" customHeight="1" thickBot="1" x14ac:dyDescent="0.3">
      <c r="B1170" s="746"/>
      <c r="C1170" s="747"/>
      <c r="D1170" s="748"/>
      <c r="E1170" s="748"/>
      <c r="F1170" s="749"/>
      <c r="G1170" s="750"/>
      <c r="H1170" s="202"/>
    </row>
    <row r="1171" spans="2:8" s="154" customFormat="1" ht="39.75" customHeight="1" x14ac:dyDescent="0.25">
      <c r="B1171" s="203"/>
      <c r="C1171" s="204" t="s">
        <v>69</v>
      </c>
      <c r="D1171" s="205">
        <f>D14+D148+D146</f>
        <v>907940030674</v>
      </c>
      <c r="E1171" s="205">
        <f>+E14+E146+E148</f>
        <v>821412090619.45996</v>
      </c>
      <c r="F1171" s="206">
        <f>E1171/D1171*100</f>
        <v>90.469861760549648</v>
      </c>
      <c r="G1171" s="656">
        <f>(G14+G146+G148)/3</f>
        <v>85.873776216152962</v>
      </c>
      <c r="H1171" s="207"/>
    </row>
    <row r="1174" spans="2:8" ht="20.25" customHeight="1" x14ac:dyDescent="0.25"/>
    <row r="1175" spans="2:8" ht="57" customHeight="1" x14ac:dyDescent="0.25">
      <c r="C1175" s="657"/>
    </row>
  </sheetData>
  <mergeCells count="11">
    <mergeCell ref="B8:C8"/>
    <mergeCell ref="F1:H1"/>
    <mergeCell ref="B2:H2"/>
    <mergeCell ref="B3:H3"/>
    <mergeCell ref="B4:H4"/>
    <mergeCell ref="B5:H5"/>
    <mergeCell ref="I528:K532"/>
    <mergeCell ref="B10:B11"/>
    <mergeCell ref="C10:C11"/>
    <mergeCell ref="D10:G10"/>
    <mergeCell ref="H10:H11"/>
  </mergeCells>
  <printOptions horizontalCentered="1"/>
  <pageMargins left="0.31496062992125984" right="0" top="0.19685039370078741" bottom="0.39370078740157483" header="0.31496062992125984" footer="0.31496062992125984"/>
  <pageSetup paperSize="258" orientation="landscape" r:id="rId1"/>
  <rowBreaks count="1" manualBreakCount="1">
    <brk id="895" max="13" man="1"/>
  </rowBreaks>
  <colBreaks count="1" manualBreakCount="1">
    <brk id="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01"/>
  <sheetViews>
    <sheetView view="pageBreakPreview" topLeftCell="A79" zoomScale="115" zoomScaleNormal="115" zoomScaleSheetLayoutView="115" workbookViewId="0">
      <selection activeCell="H195" sqref="H195"/>
    </sheetView>
  </sheetViews>
  <sheetFormatPr defaultColWidth="8.85546875" defaultRowHeight="36" customHeight="1" x14ac:dyDescent="0.25"/>
  <cols>
    <col min="1" max="1" width="3.5703125" style="80" customWidth="1"/>
    <col min="2" max="2" width="8" style="87" customWidth="1"/>
    <col min="3" max="3" width="47" style="80" customWidth="1"/>
    <col min="4" max="4" width="17.85546875" style="80" customWidth="1"/>
    <col min="5" max="5" width="16.140625" style="80" customWidth="1"/>
    <col min="6" max="7" width="8" style="80" customWidth="1"/>
    <col min="8" max="8" width="22.42578125" style="80" customWidth="1"/>
    <col min="9" max="9" width="3.42578125" style="80" customWidth="1"/>
    <col min="10" max="16384" width="8.85546875" style="80"/>
  </cols>
  <sheetData>
    <row r="1" spans="1:9" ht="36" customHeight="1" x14ac:dyDescent="0.25">
      <c r="A1" s="76"/>
      <c r="B1" s="1322"/>
      <c r="C1" s="1322"/>
      <c r="D1" s="1322"/>
      <c r="E1" s="1322"/>
      <c r="F1" s="1322"/>
      <c r="G1" s="1322"/>
      <c r="H1" s="1322"/>
      <c r="I1" s="76"/>
    </row>
    <row r="2" spans="1:9" ht="23.25" customHeight="1" x14ac:dyDescent="0.25">
      <c r="A2" s="76"/>
      <c r="B2" s="1359" t="s">
        <v>4042</v>
      </c>
      <c r="C2" s="1359"/>
      <c r="D2" s="1359"/>
      <c r="E2" s="1359"/>
      <c r="F2" s="1359"/>
      <c r="G2" s="1359"/>
      <c r="H2" s="1359"/>
      <c r="I2" s="76"/>
    </row>
    <row r="3" spans="1:9" s="142" customFormat="1" ht="23.25" customHeight="1" x14ac:dyDescent="0.25">
      <c r="A3" s="156"/>
      <c r="B3" s="1359" t="s">
        <v>4043</v>
      </c>
      <c r="C3" s="1359"/>
      <c r="D3" s="1359"/>
      <c r="E3" s="1359"/>
      <c r="F3" s="1359"/>
      <c r="G3" s="1359"/>
      <c r="H3" s="1359"/>
      <c r="I3" s="156"/>
    </row>
    <row r="4" spans="1:9" ht="23.25" customHeight="1" x14ac:dyDescent="0.25">
      <c r="A4" s="76"/>
      <c r="B4" s="1359" t="s">
        <v>3993</v>
      </c>
      <c r="C4" s="1359"/>
      <c r="D4" s="1359"/>
      <c r="E4" s="1359"/>
      <c r="F4" s="1359"/>
      <c r="G4" s="1359"/>
      <c r="H4" s="1359"/>
      <c r="I4" s="76"/>
    </row>
    <row r="5" spans="1:9" ht="15" customHeight="1" x14ac:dyDescent="0.25">
      <c r="A5" s="76"/>
      <c r="B5" s="1136"/>
      <c r="C5" s="1136"/>
      <c r="D5" s="1136"/>
      <c r="E5" s="1136"/>
      <c r="F5" s="1136"/>
      <c r="G5" s="1136"/>
      <c r="H5" s="1136"/>
      <c r="I5" s="76"/>
    </row>
    <row r="6" spans="1:9" ht="25.5" customHeight="1" x14ac:dyDescent="0.25">
      <c r="A6" s="76"/>
      <c r="B6" s="766" t="s">
        <v>4044</v>
      </c>
      <c r="C6" s="766"/>
      <c r="D6" s="76"/>
      <c r="E6" s="76"/>
      <c r="F6" s="76"/>
      <c r="G6" s="76"/>
      <c r="H6" s="76"/>
      <c r="I6" s="76"/>
    </row>
    <row r="7" spans="1:9" ht="25.5" customHeight="1" x14ac:dyDescent="0.25">
      <c r="A7" s="76"/>
      <c r="B7" s="1360" t="s">
        <v>4045</v>
      </c>
      <c r="C7" s="1360"/>
      <c r="D7" s="653"/>
      <c r="E7" s="653"/>
      <c r="F7" s="76"/>
      <c r="G7" s="76"/>
      <c r="H7" s="1137" t="s">
        <v>4046</v>
      </c>
      <c r="I7" s="76"/>
    </row>
    <row r="8" spans="1:9" ht="16.5" customHeight="1" x14ac:dyDescent="0.25">
      <c r="A8" s="76"/>
      <c r="B8" s="653"/>
      <c r="C8" s="1138" t="s">
        <v>4045</v>
      </c>
      <c r="D8" s="76"/>
      <c r="E8" s="76"/>
      <c r="F8" s="76"/>
      <c r="G8" s="76"/>
      <c r="H8" s="76"/>
      <c r="I8" s="76"/>
    </row>
    <row r="9" spans="1:9" ht="24.95" customHeight="1" x14ac:dyDescent="0.25">
      <c r="A9" s="76"/>
      <c r="B9" s="1353" t="s">
        <v>6</v>
      </c>
      <c r="C9" s="1355" t="s">
        <v>7</v>
      </c>
      <c r="D9" s="1357" t="s">
        <v>10</v>
      </c>
      <c r="E9" s="1357"/>
      <c r="F9" s="1357"/>
      <c r="G9" s="1357"/>
      <c r="H9" s="1340" t="s">
        <v>11</v>
      </c>
    </row>
    <row r="10" spans="1:9" ht="33" customHeight="1" thickBot="1" x14ac:dyDescent="0.3">
      <c r="A10" s="76"/>
      <c r="B10" s="1354"/>
      <c r="C10" s="1356"/>
      <c r="D10" s="1198" t="s">
        <v>14</v>
      </c>
      <c r="E10" s="1198" t="s">
        <v>3995</v>
      </c>
      <c r="F10" s="1198" t="s">
        <v>3996</v>
      </c>
      <c r="G10" s="1198" t="s">
        <v>3997</v>
      </c>
      <c r="H10" s="1358"/>
    </row>
    <row r="11" spans="1:9" ht="12" customHeight="1" thickTop="1" thickBot="1" x14ac:dyDescent="0.3">
      <c r="A11" s="76"/>
      <c r="B11" s="1199" t="s">
        <v>18</v>
      </c>
      <c r="C11" s="1199" t="s">
        <v>19</v>
      </c>
      <c r="D11" s="1200" t="s">
        <v>20</v>
      </c>
      <c r="E11" s="1201" t="s">
        <v>21</v>
      </c>
      <c r="F11" s="1202" t="s">
        <v>22</v>
      </c>
      <c r="G11" s="1202" t="s">
        <v>23</v>
      </c>
      <c r="H11" s="857" t="s">
        <v>24</v>
      </c>
    </row>
    <row r="12" spans="1:9" ht="15" customHeight="1" thickTop="1" x14ac:dyDescent="0.25">
      <c r="A12" s="76"/>
      <c r="B12" s="1203"/>
      <c r="C12" s="1204"/>
      <c r="D12" s="1205"/>
      <c r="E12" s="1206"/>
      <c r="F12" s="1207"/>
      <c r="G12" s="1205"/>
      <c r="H12" s="158"/>
    </row>
    <row r="13" spans="1:9" ht="24.95" customHeight="1" x14ac:dyDescent="0.25">
      <c r="A13" s="76"/>
      <c r="B13" s="1208" t="s">
        <v>80</v>
      </c>
      <c r="C13" s="1209" t="s">
        <v>81</v>
      </c>
      <c r="D13" s="1210">
        <f>+D14+D79+D91+D138+D149+D164+D185+D190</f>
        <v>2400000000000</v>
      </c>
      <c r="E13" s="1211">
        <f>+E14+E79+E91+E138+E149+E164+E185+E190</f>
        <v>1862045196749.9102</v>
      </c>
      <c r="F13" s="1212">
        <f t="shared" ref="F13:F36" si="0">+E13/D13*100</f>
        <v>77.58521653124626</v>
      </c>
      <c r="G13" s="1212">
        <f>(G14+G65+G91+G121+G138+G164+G185+G190)/8</f>
        <v>74.787260001100378</v>
      </c>
      <c r="H13" s="111"/>
    </row>
    <row r="14" spans="1:9" s="115" customFormat="1" ht="24.95" customHeight="1" x14ac:dyDescent="0.25">
      <c r="A14" s="157"/>
      <c r="B14" s="1208"/>
      <c r="C14" s="1213" t="s">
        <v>854</v>
      </c>
      <c r="D14" s="1214">
        <f>+D15+D34+D36+D38+D43+D50+D56+D58+D76</f>
        <v>991491242000</v>
      </c>
      <c r="E14" s="1211">
        <f>+E15+E34+E36+E38+E43+E50+E56+E58+E60+E76</f>
        <v>661130311345.59009</v>
      </c>
      <c r="F14" s="1212">
        <f t="shared" si="0"/>
        <v>66.680398508814065</v>
      </c>
      <c r="G14" s="1212">
        <f>+F14</f>
        <v>66.680398508814065</v>
      </c>
      <c r="H14" s="121"/>
    </row>
    <row r="15" spans="1:9" s="115" customFormat="1" ht="24.95" hidden="1" customHeight="1" x14ac:dyDescent="0.25">
      <c r="A15" s="157"/>
      <c r="B15" s="1208"/>
      <c r="C15" s="1215" t="s">
        <v>3207</v>
      </c>
      <c r="D15" s="1216">
        <f>SUM(D16:D33)</f>
        <v>628296659119</v>
      </c>
      <c r="E15" s="1217">
        <v>425925225429.84003</v>
      </c>
      <c r="F15" s="1212">
        <f t="shared" si="0"/>
        <v>67.790464782523912</v>
      </c>
      <c r="G15" s="1212">
        <f>+F15</f>
        <v>67.790464782523912</v>
      </c>
      <c r="H15" s="121"/>
    </row>
    <row r="16" spans="1:9" ht="24.95" hidden="1" customHeight="1" x14ac:dyDescent="0.25">
      <c r="A16" s="76"/>
      <c r="B16" s="1218"/>
      <c r="C16" s="1219" t="s">
        <v>4047</v>
      </c>
      <c r="D16" s="1220">
        <v>181377691560</v>
      </c>
      <c r="E16" s="1221">
        <v>128513890834.5</v>
      </c>
      <c r="F16" s="1222">
        <f t="shared" si="0"/>
        <v>70.854298414084411</v>
      </c>
      <c r="G16" s="1222">
        <f>+F16</f>
        <v>70.854298414084411</v>
      </c>
      <c r="H16" s="765"/>
    </row>
    <row r="17" spans="1:8" ht="24.95" hidden="1" customHeight="1" x14ac:dyDescent="0.25">
      <c r="A17" s="76"/>
      <c r="B17" s="1218"/>
      <c r="C17" s="1219" t="s">
        <v>4048</v>
      </c>
      <c r="D17" s="1220">
        <v>23000000000</v>
      </c>
      <c r="E17" s="1221">
        <v>17353973143.290001</v>
      </c>
      <c r="F17" s="1222">
        <f t="shared" si="0"/>
        <v>75.452057144739143</v>
      </c>
      <c r="G17" s="1222">
        <f t="shared" ref="G17:G29" si="1">+F17</f>
        <v>75.452057144739143</v>
      </c>
      <c r="H17" s="111"/>
    </row>
    <row r="18" spans="1:8" ht="24.95" hidden="1" customHeight="1" x14ac:dyDescent="0.25">
      <c r="A18" s="76"/>
      <c r="B18" s="1218"/>
      <c r="C18" s="1219" t="s">
        <v>4049</v>
      </c>
      <c r="D18" s="1220">
        <v>15000000000</v>
      </c>
      <c r="E18" s="1221">
        <v>10918231615.5</v>
      </c>
      <c r="F18" s="1222">
        <f t="shared" si="0"/>
        <v>72.788210769999992</v>
      </c>
      <c r="G18" s="1222">
        <f t="shared" si="1"/>
        <v>72.788210769999992</v>
      </c>
      <c r="H18" s="111"/>
    </row>
    <row r="19" spans="1:8" ht="24.95" hidden="1" customHeight="1" x14ac:dyDescent="0.25">
      <c r="A19" s="76"/>
      <c r="B19" s="1218"/>
      <c r="C19" s="1219" t="s">
        <v>4050</v>
      </c>
      <c r="D19" s="1220">
        <v>20000000000</v>
      </c>
      <c r="E19" s="1221">
        <v>13567553367.93</v>
      </c>
      <c r="F19" s="1222">
        <f t="shared" si="0"/>
        <v>67.837766839650001</v>
      </c>
      <c r="G19" s="1222">
        <f t="shared" si="1"/>
        <v>67.837766839650001</v>
      </c>
      <c r="H19" s="111"/>
    </row>
    <row r="20" spans="1:8" ht="24.95" hidden="1" customHeight="1" x14ac:dyDescent="0.25">
      <c r="A20" s="76"/>
      <c r="B20" s="1218"/>
      <c r="C20" s="1219" t="s">
        <v>4051</v>
      </c>
      <c r="D20" s="1220">
        <v>201728613565</v>
      </c>
      <c r="E20" s="1221">
        <v>190702099924</v>
      </c>
      <c r="F20" s="1222">
        <f t="shared" si="0"/>
        <v>94.533986306584566</v>
      </c>
      <c r="G20" s="1222">
        <f t="shared" si="1"/>
        <v>94.533986306584566</v>
      </c>
      <c r="H20" s="111"/>
    </row>
    <row r="21" spans="1:8" ht="24.95" hidden="1" customHeight="1" x14ac:dyDescent="0.25">
      <c r="A21" s="76"/>
      <c r="B21" s="1218"/>
      <c r="C21" s="1219" t="s">
        <v>4052</v>
      </c>
      <c r="D21" s="1220">
        <v>25000000000</v>
      </c>
      <c r="E21" s="1221">
        <v>107536707</v>
      </c>
      <c r="F21" s="1222">
        <f t="shared" si="0"/>
        <v>0.43014682799999998</v>
      </c>
      <c r="G21" s="1222">
        <f t="shared" si="1"/>
        <v>0.43014682799999998</v>
      </c>
      <c r="H21" s="111"/>
    </row>
    <row r="22" spans="1:8" ht="24.95" hidden="1" customHeight="1" x14ac:dyDescent="0.25">
      <c r="A22" s="76"/>
      <c r="B22" s="1218"/>
      <c r="C22" s="1219" t="s">
        <v>4053</v>
      </c>
      <c r="D22" s="1220">
        <v>20000000000</v>
      </c>
      <c r="E22" s="1221">
        <v>3383397031.4000001</v>
      </c>
      <c r="F22" s="1222">
        <f t="shared" si="0"/>
        <v>16.916985156999999</v>
      </c>
      <c r="G22" s="1222">
        <f t="shared" si="1"/>
        <v>16.916985156999999</v>
      </c>
      <c r="H22" s="111"/>
    </row>
    <row r="23" spans="1:8" ht="24.95" hidden="1" customHeight="1" x14ac:dyDescent="0.25">
      <c r="A23" s="76"/>
      <c r="B23" s="1218"/>
      <c r="C23" s="1219" t="s">
        <v>4054</v>
      </c>
      <c r="D23" s="1220">
        <v>45000000000</v>
      </c>
      <c r="E23" s="1221">
        <v>19585850234.650002</v>
      </c>
      <c r="F23" s="1222">
        <f t="shared" si="0"/>
        <v>43.524111632555559</v>
      </c>
      <c r="G23" s="1222">
        <f t="shared" si="1"/>
        <v>43.524111632555559</v>
      </c>
      <c r="H23" s="111"/>
    </row>
    <row r="24" spans="1:8" ht="24.95" hidden="1" customHeight="1" x14ac:dyDescent="0.25">
      <c r="A24" s="76"/>
      <c r="B24" s="1218"/>
      <c r="C24" s="1219" t="s">
        <v>4055</v>
      </c>
      <c r="D24" s="1220">
        <v>17000000000</v>
      </c>
      <c r="E24" s="1221">
        <v>109471756</v>
      </c>
      <c r="F24" s="1222">
        <f t="shared" si="0"/>
        <v>0.64395150588235295</v>
      </c>
      <c r="G24" s="1222">
        <f t="shared" si="1"/>
        <v>0.64395150588235295</v>
      </c>
      <c r="H24" s="111"/>
    </row>
    <row r="25" spans="1:8" ht="24.95" hidden="1" customHeight="1" x14ac:dyDescent="0.25">
      <c r="A25" s="76"/>
      <c r="B25" s="1218"/>
      <c r="C25" s="1219" t="s">
        <v>4056</v>
      </c>
      <c r="D25" s="1220">
        <v>7322308440</v>
      </c>
      <c r="E25" s="1221">
        <v>5388120430.5699997</v>
      </c>
      <c r="F25" s="1222">
        <f t="shared" si="0"/>
        <v>73.584996790574962</v>
      </c>
      <c r="G25" s="1222">
        <f t="shared" si="1"/>
        <v>73.584996790574962</v>
      </c>
      <c r="H25" s="111"/>
    </row>
    <row r="26" spans="1:8" ht="24.95" hidden="1" customHeight="1" x14ac:dyDescent="0.25">
      <c r="A26" s="76"/>
      <c r="B26" s="1218"/>
      <c r="C26" s="1219" t="s">
        <v>4057</v>
      </c>
      <c r="D26" s="1220">
        <v>1253337829</v>
      </c>
      <c r="E26" s="1221">
        <v>48927644</v>
      </c>
      <c r="F26" s="1222">
        <f t="shared" si="0"/>
        <v>3.9037873802179797</v>
      </c>
      <c r="G26" s="1222">
        <f t="shared" si="1"/>
        <v>3.9037873802179797</v>
      </c>
      <c r="H26" s="111"/>
    </row>
    <row r="27" spans="1:8" ht="24.95" hidden="1" customHeight="1" x14ac:dyDescent="0.25">
      <c r="A27" s="76"/>
      <c r="B27" s="1218"/>
      <c r="C27" s="1219" t="s">
        <v>4058</v>
      </c>
      <c r="D27" s="1220">
        <v>15000000000</v>
      </c>
      <c r="E27" s="1221">
        <v>116216307</v>
      </c>
      <c r="F27" s="1222">
        <f t="shared" si="0"/>
        <v>0.77477538000000001</v>
      </c>
      <c r="G27" s="1222">
        <f t="shared" si="1"/>
        <v>0.77477538000000001</v>
      </c>
      <c r="H27" s="111"/>
    </row>
    <row r="28" spans="1:8" ht="24.95" hidden="1" customHeight="1" x14ac:dyDescent="0.25">
      <c r="A28" s="76"/>
      <c r="B28" s="1218"/>
      <c r="C28" s="1219" t="s">
        <v>4059</v>
      </c>
      <c r="D28" s="1220">
        <v>20000000000</v>
      </c>
      <c r="E28" s="1221">
        <v>115653709</v>
      </c>
      <c r="F28" s="1222">
        <f t="shared" si="0"/>
        <v>0.57826854500000002</v>
      </c>
      <c r="G28" s="1222">
        <f t="shared" si="1"/>
        <v>0.57826854500000002</v>
      </c>
      <c r="H28" s="111"/>
    </row>
    <row r="29" spans="1:8" ht="24.95" hidden="1" customHeight="1" x14ac:dyDescent="0.25">
      <c r="A29" s="76"/>
      <c r="B29" s="1218"/>
      <c r="C29" s="1219" t="s">
        <v>4060</v>
      </c>
      <c r="D29" s="1220">
        <v>638625000</v>
      </c>
      <c r="E29" s="1221">
        <v>38220000</v>
      </c>
      <c r="F29" s="1222">
        <f t="shared" si="0"/>
        <v>5.9847328244274811</v>
      </c>
      <c r="G29" s="1222">
        <f t="shared" si="1"/>
        <v>5.9847328244274811</v>
      </c>
      <c r="H29" s="111"/>
    </row>
    <row r="30" spans="1:8" ht="24.95" hidden="1" customHeight="1" x14ac:dyDescent="0.25">
      <c r="A30" s="76"/>
      <c r="B30" s="1218"/>
      <c r="C30" s="1219" t="s">
        <v>4061</v>
      </c>
      <c r="D30" s="1220">
        <v>19944836877</v>
      </c>
      <c r="E30" s="1221">
        <v>19944836877</v>
      </c>
      <c r="F30" s="1222">
        <f t="shared" si="0"/>
        <v>100</v>
      </c>
      <c r="G30" s="1222">
        <v>100</v>
      </c>
      <c r="H30" s="111"/>
    </row>
    <row r="31" spans="1:8" ht="24.95" hidden="1" customHeight="1" x14ac:dyDescent="0.25">
      <c r="A31" s="76"/>
      <c r="B31" s="1218"/>
      <c r="C31" s="1219" t="s">
        <v>4062</v>
      </c>
      <c r="D31" s="1220">
        <v>4472600000</v>
      </c>
      <c r="E31" s="1221">
        <v>4472600000</v>
      </c>
      <c r="F31" s="1222">
        <f t="shared" si="0"/>
        <v>100</v>
      </c>
      <c r="G31" s="1222">
        <v>100</v>
      </c>
      <c r="H31" s="111"/>
    </row>
    <row r="32" spans="1:8" ht="24.95" hidden="1" customHeight="1" x14ac:dyDescent="0.25">
      <c r="A32" s="76"/>
      <c r="B32" s="1218"/>
      <c r="C32" s="1219" t="s">
        <v>4063</v>
      </c>
      <c r="D32" s="1220">
        <v>9397766789</v>
      </c>
      <c r="E32" s="1221">
        <v>9397766789</v>
      </c>
      <c r="F32" s="1222">
        <f t="shared" si="0"/>
        <v>100</v>
      </c>
      <c r="G32" s="1222">
        <f>+F32</f>
        <v>100</v>
      </c>
      <c r="H32" s="111"/>
    </row>
    <row r="33" spans="1:8" ht="24.95" hidden="1" customHeight="1" x14ac:dyDescent="0.25">
      <c r="A33" s="76"/>
      <c r="B33" s="1218"/>
      <c r="C33" s="1219" t="s">
        <v>4064</v>
      </c>
      <c r="D33" s="1220">
        <v>2160879059</v>
      </c>
      <c r="E33" s="1221">
        <v>2160879059</v>
      </c>
      <c r="F33" s="1222">
        <f t="shared" si="0"/>
        <v>100</v>
      </c>
      <c r="G33" s="1222">
        <f t="shared" ref="G33:G89" si="2">+F33</f>
        <v>100</v>
      </c>
      <c r="H33" s="111"/>
    </row>
    <row r="34" spans="1:8" s="115" customFormat="1" ht="24.95" hidden="1" customHeight="1" x14ac:dyDescent="0.25">
      <c r="A34" s="157"/>
      <c r="B34" s="1208"/>
      <c r="C34" s="1215" t="s">
        <v>4065</v>
      </c>
      <c r="D34" s="1217">
        <v>71554861654</v>
      </c>
      <c r="E34" s="1217">
        <v>28849163695</v>
      </c>
      <c r="F34" s="1212">
        <f t="shared" si="0"/>
        <v>40.317545206779535</v>
      </c>
      <c r="G34" s="1212">
        <f t="shared" si="2"/>
        <v>40.317545206779535</v>
      </c>
      <c r="H34" s="121"/>
    </row>
    <row r="35" spans="1:8" ht="24.95" hidden="1" customHeight="1" x14ac:dyDescent="0.25">
      <c r="A35" s="76"/>
      <c r="B35" s="1218"/>
      <c r="C35" s="1219" t="s">
        <v>4066</v>
      </c>
      <c r="D35" s="1221">
        <v>71554861654</v>
      </c>
      <c r="E35" s="1221">
        <v>28849163695</v>
      </c>
      <c r="F35" s="1222">
        <f t="shared" si="0"/>
        <v>40.317545206779535</v>
      </c>
      <c r="G35" s="1222">
        <f t="shared" si="2"/>
        <v>40.317545206779535</v>
      </c>
      <c r="H35" s="111"/>
    </row>
    <row r="36" spans="1:8" s="115" customFormat="1" ht="24.95" hidden="1" customHeight="1" x14ac:dyDescent="0.25">
      <c r="A36" s="157"/>
      <c r="B36" s="1208"/>
      <c r="C36" s="1223" t="s">
        <v>4067</v>
      </c>
      <c r="D36" s="1217">
        <f>+D37</f>
        <v>5303324311</v>
      </c>
      <c r="E36" s="1217">
        <v>23059316</v>
      </c>
      <c r="F36" s="1212">
        <f t="shared" si="0"/>
        <v>0.4348087095516871</v>
      </c>
      <c r="G36" s="1212">
        <f t="shared" si="2"/>
        <v>0.4348087095516871</v>
      </c>
      <c r="H36" s="121"/>
    </row>
    <row r="37" spans="1:8" ht="24.95" hidden="1" customHeight="1" x14ac:dyDescent="0.25">
      <c r="A37" s="76"/>
      <c r="B37" s="1218"/>
      <c r="C37" s="1219" t="s">
        <v>4068</v>
      </c>
      <c r="D37" s="1220">
        <v>5303324311</v>
      </c>
      <c r="E37" s="1221">
        <v>23059316</v>
      </c>
      <c r="F37" s="1222">
        <f t="shared" ref="F37:F89" si="3">+E37/D37*100</f>
        <v>0.4348087095516871</v>
      </c>
      <c r="G37" s="1222">
        <f t="shared" si="2"/>
        <v>0.4348087095516871</v>
      </c>
      <c r="H37" s="111"/>
    </row>
    <row r="38" spans="1:8" s="115" customFormat="1" ht="24.95" hidden="1" customHeight="1" x14ac:dyDescent="0.25">
      <c r="A38" s="157"/>
      <c r="B38" s="1208"/>
      <c r="C38" s="1215" t="s">
        <v>4069</v>
      </c>
      <c r="D38" s="1217">
        <f>+D39+D40+D41+D42</f>
        <v>22070218847</v>
      </c>
      <c r="E38" s="1217">
        <v>9469614903</v>
      </c>
      <c r="F38" s="1212">
        <f t="shared" si="3"/>
        <v>42.906755789996176</v>
      </c>
      <c r="G38" s="1212">
        <f t="shared" si="2"/>
        <v>42.906755789996176</v>
      </c>
      <c r="H38" s="121"/>
    </row>
    <row r="39" spans="1:8" ht="24.95" hidden="1" customHeight="1" x14ac:dyDescent="0.25">
      <c r="A39" s="76"/>
      <c r="B39" s="1218"/>
      <c r="C39" s="1219" t="s">
        <v>4070</v>
      </c>
      <c r="D39" s="1220">
        <v>5550883874</v>
      </c>
      <c r="E39" s="1221">
        <v>5004487968</v>
      </c>
      <c r="F39" s="1222">
        <f t="shared" si="3"/>
        <v>90.156596347488289</v>
      </c>
      <c r="G39" s="1222">
        <f t="shared" si="2"/>
        <v>90.156596347488289</v>
      </c>
      <c r="H39" s="111"/>
    </row>
    <row r="40" spans="1:8" ht="24.95" hidden="1" customHeight="1" x14ac:dyDescent="0.25">
      <c r="A40" s="76"/>
      <c r="B40" s="1218"/>
      <c r="C40" s="1219" t="s">
        <v>4071</v>
      </c>
      <c r="D40" s="1220">
        <v>5880939283</v>
      </c>
      <c r="E40" s="1221">
        <v>60169687</v>
      </c>
      <c r="F40" s="1222">
        <f t="shared" si="3"/>
        <v>1.0231305596698166</v>
      </c>
      <c r="G40" s="1222">
        <f t="shared" si="2"/>
        <v>1.0231305596698166</v>
      </c>
      <c r="H40" s="111"/>
    </row>
    <row r="41" spans="1:8" ht="24.95" hidden="1" customHeight="1" x14ac:dyDescent="0.25">
      <c r="A41" s="76"/>
      <c r="B41" s="1218"/>
      <c r="C41" s="1219" t="s">
        <v>4072</v>
      </c>
      <c r="D41" s="1220">
        <v>5815618701</v>
      </c>
      <c r="E41" s="1221">
        <v>75548437</v>
      </c>
      <c r="F41" s="1222">
        <f t="shared" si="3"/>
        <v>1.2990610437890193</v>
      </c>
      <c r="G41" s="1222">
        <f t="shared" si="2"/>
        <v>1.2990610437890193</v>
      </c>
      <c r="H41" s="111"/>
    </row>
    <row r="42" spans="1:8" ht="24.95" hidden="1" customHeight="1" x14ac:dyDescent="0.25">
      <c r="A42" s="76"/>
      <c r="B42" s="1218"/>
      <c r="C42" s="1219" t="s">
        <v>4073</v>
      </c>
      <c r="D42" s="1220">
        <v>4822776989</v>
      </c>
      <c r="E42" s="1221">
        <v>4329408811</v>
      </c>
      <c r="F42" s="1222">
        <f t="shared" si="3"/>
        <v>89.770039561744284</v>
      </c>
      <c r="G42" s="1222">
        <f t="shared" si="2"/>
        <v>89.770039561744284</v>
      </c>
      <c r="H42" s="111"/>
    </row>
    <row r="43" spans="1:8" s="115" customFormat="1" ht="24.95" hidden="1" customHeight="1" x14ac:dyDescent="0.25">
      <c r="A43" s="157"/>
      <c r="B43" s="1208"/>
      <c r="C43" s="1223" t="s">
        <v>855</v>
      </c>
      <c r="D43" s="1217">
        <f>+D44+D45+D46+D47+D48+D49</f>
        <v>62489904512</v>
      </c>
      <c r="E43" s="1217">
        <v>21757890510.900002</v>
      </c>
      <c r="F43" s="1212">
        <f t="shared" si="3"/>
        <v>34.818248932868528</v>
      </c>
      <c r="G43" s="1212">
        <f t="shared" si="2"/>
        <v>34.818248932868528</v>
      </c>
      <c r="H43" s="121"/>
    </row>
    <row r="44" spans="1:8" ht="24.95" hidden="1" customHeight="1" x14ac:dyDescent="0.25">
      <c r="A44" s="76"/>
      <c r="B44" s="1218"/>
      <c r="C44" s="1219" t="s">
        <v>4074</v>
      </c>
      <c r="D44" s="1221">
        <v>223869241</v>
      </c>
      <c r="E44" s="1221">
        <v>61026350</v>
      </c>
      <c r="F44" s="1222">
        <f t="shared" si="3"/>
        <v>27.259819047673457</v>
      </c>
      <c r="G44" s="1222">
        <f t="shared" si="2"/>
        <v>27.259819047673457</v>
      </c>
      <c r="H44" s="111"/>
    </row>
    <row r="45" spans="1:8" ht="24.95" hidden="1" customHeight="1" x14ac:dyDescent="0.25">
      <c r="A45" s="76"/>
      <c r="B45" s="1218"/>
      <c r="C45" s="1219" t="s">
        <v>4075</v>
      </c>
      <c r="D45" s="1221">
        <v>247842010</v>
      </c>
      <c r="E45" s="1221">
        <v>70700500</v>
      </c>
      <c r="F45" s="1222">
        <f t="shared" si="3"/>
        <v>28.526439081090409</v>
      </c>
      <c r="G45" s="1222">
        <f t="shared" si="2"/>
        <v>28.526439081090409</v>
      </c>
      <c r="H45" s="111"/>
    </row>
    <row r="46" spans="1:8" ht="24.95" hidden="1" customHeight="1" x14ac:dyDescent="0.25">
      <c r="A46" s="76"/>
      <c r="B46" s="1218"/>
      <c r="C46" s="1219" t="s">
        <v>4076</v>
      </c>
      <c r="D46" s="1221">
        <v>46631424507</v>
      </c>
      <c r="E46" s="1221">
        <v>10012060249</v>
      </c>
      <c r="F46" s="1222">
        <f t="shared" si="3"/>
        <v>21.470629205198431</v>
      </c>
      <c r="G46" s="1222">
        <f>+F46</f>
        <v>21.470629205198431</v>
      </c>
      <c r="H46" s="111"/>
    </row>
    <row r="47" spans="1:8" ht="24.95" hidden="1" customHeight="1" x14ac:dyDescent="0.25">
      <c r="A47" s="76"/>
      <c r="B47" s="1218"/>
      <c r="C47" s="1219" t="s">
        <v>4077</v>
      </c>
      <c r="D47" s="1221">
        <v>308231008</v>
      </c>
      <c r="E47" s="1221">
        <v>93913500</v>
      </c>
      <c r="F47" s="1222">
        <f t="shared" si="3"/>
        <v>30.468543904576922</v>
      </c>
      <c r="G47" s="1222">
        <f t="shared" si="2"/>
        <v>30.468543904576922</v>
      </c>
      <c r="H47" s="111"/>
    </row>
    <row r="48" spans="1:8" ht="24.95" hidden="1" customHeight="1" x14ac:dyDescent="0.25">
      <c r="A48" s="76"/>
      <c r="B48" s="1218"/>
      <c r="C48" s="1219" t="s">
        <v>4078</v>
      </c>
      <c r="D48" s="1221">
        <v>9003600000</v>
      </c>
      <c r="E48" s="1221">
        <v>8788368161.8999996</v>
      </c>
      <c r="F48" s="1222">
        <f t="shared" si="3"/>
        <v>97.609491335687949</v>
      </c>
      <c r="G48" s="1222">
        <f t="shared" si="2"/>
        <v>97.609491335687949</v>
      </c>
      <c r="H48" s="111"/>
    </row>
    <row r="49" spans="1:8" ht="24.95" hidden="1" customHeight="1" x14ac:dyDescent="0.25">
      <c r="A49" s="76"/>
      <c r="B49" s="1218"/>
      <c r="C49" s="1219" t="s">
        <v>4079</v>
      </c>
      <c r="D49" s="1221">
        <v>6074937746</v>
      </c>
      <c r="E49" s="1221">
        <v>2731821750</v>
      </c>
      <c r="F49" s="1222">
        <f t="shared" si="3"/>
        <v>44.968720079456766</v>
      </c>
      <c r="G49" s="1222">
        <f t="shared" si="2"/>
        <v>44.968720079456766</v>
      </c>
      <c r="H49" s="111"/>
    </row>
    <row r="50" spans="1:8" s="115" customFormat="1" ht="24.95" hidden="1" customHeight="1" x14ac:dyDescent="0.25">
      <c r="A50" s="157"/>
      <c r="B50" s="1208"/>
      <c r="C50" s="1224" t="s">
        <v>4080</v>
      </c>
      <c r="D50" s="1225">
        <f>SUM(D51:D55)</f>
        <v>55541114902</v>
      </c>
      <c r="E50" s="1217">
        <v>19581183726.040001</v>
      </c>
      <c r="F50" s="1212">
        <f t="shared" si="3"/>
        <v>35.255294677807946</v>
      </c>
      <c r="G50" s="1212">
        <f t="shared" si="2"/>
        <v>35.255294677807946</v>
      </c>
      <c r="H50" s="121"/>
    </row>
    <row r="51" spans="1:8" ht="24.95" hidden="1" customHeight="1" x14ac:dyDescent="0.25">
      <c r="A51" s="76"/>
      <c r="B51" s="1218"/>
      <c r="C51" s="1226" t="s">
        <v>4081</v>
      </c>
      <c r="D51" s="1220">
        <v>8489190594</v>
      </c>
      <c r="E51" s="1221">
        <v>3120015501.04</v>
      </c>
      <c r="F51" s="1222">
        <f t="shared" si="3"/>
        <v>36.752803067528816</v>
      </c>
      <c r="G51" s="1222">
        <f t="shared" si="2"/>
        <v>36.752803067528816</v>
      </c>
      <c r="H51" s="111"/>
    </row>
    <row r="52" spans="1:8" ht="24.95" hidden="1" customHeight="1" x14ac:dyDescent="0.25">
      <c r="A52" s="76"/>
      <c r="B52" s="1218"/>
      <c r="C52" s="1226" t="s">
        <v>4082</v>
      </c>
      <c r="D52" s="1220">
        <v>7594440206</v>
      </c>
      <c r="E52" s="1221">
        <v>76147687</v>
      </c>
      <c r="F52" s="1222">
        <f t="shared" si="3"/>
        <v>1.0026767600308366</v>
      </c>
      <c r="G52" s="1222">
        <f t="shared" si="2"/>
        <v>1.0026767600308366</v>
      </c>
      <c r="H52" s="111"/>
    </row>
    <row r="53" spans="1:8" ht="24.95" hidden="1" customHeight="1" x14ac:dyDescent="0.25">
      <c r="A53" s="76"/>
      <c r="B53" s="1218"/>
      <c r="C53" s="1226" t="s">
        <v>4083</v>
      </c>
      <c r="D53" s="1220">
        <v>3543873706</v>
      </c>
      <c r="E53" s="1221">
        <v>2871669820</v>
      </c>
      <c r="F53" s="1222">
        <f t="shared" si="3"/>
        <v>81.031945781196526</v>
      </c>
      <c r="G53" s="1222">
        <f t="shared" si="2"/>
        <v>81.031945781196526</v>
      </c>
      <c r="H53" s="111"/>
    </row>
    <row r="54" spans="1:8" ht="24.95" hidden="1" customHeight="1" x14ac:dyDescent="0.25">
      <c r="A54" s="76"/>
      <c r="B54" s="1218"/>
      <c r="C54" s="1226" t="s">
        <v>4084</v>
      </c>
      <c r="D54" s="1220">
        <v>8484549098</v>
      </c>
      <c r="E54" s="1221">
        <v>32788187</v>
      </c>
      <c r="F54" s="1222">
        <f t="shared" si="3"/>
        <v>0.38644583962309698</v>
      </c>
      <c r="G54" s="1222">
        <f t="shared" si="2"/>
        <v>0.38644583962309698</v>
      </c>
      <c r="H54" s="111"/>
    </row>
    <row r="55" spans="1:8" ht="24.95" hidden="1" customHeight="1" x14ac:dyDescent="0.25">
      <c r="A55" s="76"/>
      <c r="B55" s="1218"/>
      <c r="C55" s="1226" t="s">
        <v>4085</v>
      </c>
      <c r="D55" s="1220">
        <v>27429061298</v>
      </c>
      <c r="E55" s="1221">
        <v>13480562531</v>
      </c>
      <c r="F55" s="1222">
        <f t="shared" si="3"/>
        <v>49.147006470771714</v>
      </c>
      <c r="G55" s="1222">
        <f t="shared" si="2"/>
        <v>49.147006470771714</v>
      </c>
      <c r="H55" s="111"/>
    </row>
    <row r="56" spans="1:8" s="115" customFormat="1" ht="24.95" hidden="1" customHeight="1" x14ac:dyDescent="0.25">
      <c r="A56" s="157"/>
      <c r="B56" s="1208"/>
      <c r="C56" s="1215" t="s">
        <v>4086</v>
      </c>
      <c r="D56" s="1217">
        <f>+D57</f>
        <v>87811892982</v>
      </c>
      <c r="E56" s="1217">
        <v>86221006974.259995</v>
      </c>
      <c r="F56" s="1212">
        <f t="shared" si="3"/>
        <v>98.188302342979767</v>
      </c>
      <c r="G56" s="1212">
        <f t="shared" si="2"/>
        <v>98.188302342979767</v>
      </c>
      <c r="H56" s="121"/>
    </row>
    <row r="57" spans="1:8" ht="24.95" hidden="1" customHeight="1" x14ac:dyDescent="0.25">
      <c r="A57" s="76"/>
      <c r="B57" s="1218"/>
      <c r="C57" s="1219" t="s">
        <v>4087</v>
      </c>
      <c r="D57" s="1221">
        <v>87811892982</v>
      </c>
      <c r="E57" s="1221">
        <v>86221006974.259995</v>
      </c>
      <c r="F57" s="1222">
        <f t="shared" si="3"/>
        <v>98.188302342979767</v>
      </c>
      <c r="G57" s="1222">
        <f t="shared" si="2"/>
        <v>98.188302342979767</v>
      </c>
      <c r="H57" s="111"/>
    </row>
    <row r="58" spans="1:8" s="115" customFormat="1" ht="24.95" hidden="1" customHeight="1" x14ac:dyDescent="0.25">
      <c r="A58" s="157"/>
      <c r="B58" s="1208"/>
      <c r="C58" s="1215" t="s">
        <v>2455</v>
      </c>
      <c r="D58" s="1217">
        <f>+D59</f>
        <v>28438314379</v>
      </c>
      <c r="E58" s="1217">
        <v>6651481250.29</v>
      </c>
      <c r="F58" s="1212">
        <f t="shared" si="3"/>
        <v>23.389154369858581</v>
      </c>
      <c r="G58" s="1212">
        <f t="shared" si="2"/>
        <v>23.389154369858581</v>
      </c>
      <c r="H58" s="121"/>
    </row>
    <row r="59" spans="1:8" ht="24.95" hidden="1" customHeight="1" x14ac:dyDescent="0.25">
      <c r="A59" s="76"/>
      <c r="B59" s="1218"/>
      <c r="C59" s="1219" t="s">
        <v>4088</v>
      </c>
      <c r="D59" s="1220">
        <v>28438314379</v>
      </c>
      <c r="E59" s="1221">
        <v>6651481250.29</v>
      </c>
      <c r="F59" s="1222">
        <f t="shared" si="3"/>
        <v>23.389154369858581</v>
      </c>
      <c r="G59" s="1222">
        <f t="shared" si="2"/>
        <v>23.389154369858581</v>
      </c>
      <c r="H59" s="111"/>
    </row>
    <row r="60" spans="1:8" s="115" customFormat="1" ht="24.95" hidden="1" customHeight="1" x14ac:dyDescent="0.25">
      <c r="A60" s="157"/>
      <c r="B60" s="1208"/>
      <c r="C60" s="1215" t="s">
        <v>4089</v>
      </c>
      <c r="D60" s="1217">
        <f>+D61+D62+D63+D64+D65</f>
        <v>60074837670</v>
      </c>
      <c r="E60" s="1217">
        <v>41771232520.260002</v>
      </c>
      <c r="F60" s="1212">
        <f t="shared" si="3"/>
        <v>69.531993993417984</v>
      </c>
      <c r="G60" s="1212">
        <f t="shared" si="2"/>
        <v>69.531993993417984</v>
      </c>
      <c r="H60" s="121"/>
    </row>
    <row r="61" spans="1:8" ht="24.95" hidden="1" customHeight="1" x14ac:dyDescent="0.25">
      <c r="A61" s="76"/>
      <c r="B61" s="1218"/>
      <c r="C61" s="1219" t="s">
        <v>4090</v>
      </c>
      <c r="D61" s="1221">
        <v>14000000000</v>
      </c>
      <c r="E61" s="1221">
        <v>11148907795.48</v>
      </c>
      <c r="F61" s="1222">
        <f t="shared" si="3"/>
        <v>79.635055682000001</v>
      </c>
      <c r="G61" s="1222">
        <f t="shared" si="2"/>
        <v>79.635055682000001</v>
      </c>
      <c r="H61" s="111"/>
    </row>
    <row r="62" spans="1:8" ht="24.95" hidden="1" customHeight="1" x14ac:dyDescent="0.25">
      <c r="A62" s="76"/>
      <c r="B62" s="1218"/>
      <c r="C62" s="1219" t="s">
        <v>4091</v>
      </c>
      <c r="D62" s="1221">
        <v>9000000000</v>
      </c>
      <c r="E62" s="1221">
        <v>5754395456.7799997</v>
      </c>
      <c r="F62" s="1222">
        <f t="shared" si="3"/>
        <v>63.937727297555554</v>
      </c>
      <c r="G62" s="1222">
        <f t="shared" si="2"/>
        <v>63.937727297555554</v>
      </c>
      <c r="H62" s="111"/>
    </row>
    <row r="63" spans="1:8" ht="24.95" hidden="1" customHeight="1" x14ac:dyDescent="0.25">
      <c r="A63" s="76"/>
      <c r="B63" s="1218"/>
      <c r="C63" s="1219" t="s">
        <v>4092</v>
      </c>
      <c r="D63" s="1221">
        <v>15000000000</v>
      </c>
      <c r="E63" s="1221">
        <v>3065611570</v>
      </c>
      <c r="F63" s="1222">
        <f t="shared" si="3"/>
        <v>20.437410466666666</v>
      </c>
      <c r="G63" s="1222">
        <f t="shared" si="2"/>
        <v>20.437410466666666</v>
      </c>
      <c r="H63" s="111"/>
    </row>
    <row r="64" spans="1:8" ht="24.95" hidden="1" customHeight="1" x14ac:dyDescent="0.25">
      <c r="A64" s="76"/>
      <c r="B64" s="1218"/>
      <c r="C64" s="1219" t="s">
        <v>4093</v>
      </c>
      <c r="D64" s="1221">
        <v>16673862670</v>
      </c>
      <c r="E64" s="1221">
        <v>16673862670</v>
      </c>
      <c r="F64" s="1222">
        <f t="shared" si="3"/>
        <v>100</v>
      </c>
      <c r="G64" s="1222">
        <f t="shared" si="2"/>
        <v>100</v>
      </c>
      <c r="H64" s="111"/>
    </row>
    <row r="65" spans="1:8" ht="24.95" hidden="1" customHeight="1" x14ac:dyDescent="0.25">
      <c r="A65" s="76"/>
      <c r="B65" s="1218"/>
      <c r="C65" s="1219" t="s">
        <v>4094</v>
      </c>
      <c r="D65" s="1221">
        <v>5400975000</v>
      </c>
      <c r="E65" s="1221">
        <v>5128455028</v>
      </c>
      <c r="F65" s="1222">
        <f t="shared" si="3"/>
        <v>94.954244890968766</v>
      </c>
      <c r="G65" s="1222">
        <f t="shared" si="2"/>
        <v>94.954244890968766</v>
      </c>
      <c r="H65" s="111"/>
    </row>
    <row r="66" spans="1:8" ht="24.95" hidden="1" customHeight="1" x14ac:dyDescent="0.25">
      <c r="A66" s="76"/>
      <c r="B66" s="1218"/>
      <c r="C66" s="1227" t="s">
        <v>4095</v>
      </c>
      <c r="D66" s="1221">
        <v>29984951294</v>
      </c>
      <c r="E66" s="1221">
        <v>20880453020</v>
      </c>
      <c r="F66" s="1222">
        <f t="shared" si="3"/>
        <v>69.636441344422622</v>
      </c>
      <c r="G66" s="1222">
        <f t="shared" si="2"/>
        <v>69.636441344422622</v>
      </c>
      <c r="H66" s="111"/>
    </row>
    <row r="67" spans="1:8" ht="24.95" hidden="1" customHeight="1" x14ac:dyDescent="0.25">
      <c r="A67" s="76"/>
      <c r="B67" s="1218"/>
      <c r="C67" s="1219" t="s">
        <v>4096</v>
      </c>
      <c r="D67" s="1221">
        <v>29984951294</v>
      </c>
      <c r="E67" s="1221">
        <v>20880453020</v>
      </c>
      <c r="F67" s="1222">
        <f t="shared" si="3"/>
        <v>69.636441344422622</v>
      </c>
      <c r="G67" s="1222">
        <f t="shared" si="2"/>
        <v>69.636441344422622</v>
      </c>
      <c r="H67" s="111"/>
    </row>
    <row r="68" spans="1:8" ht="24.95" hidden="1" customHeight="1" x14ac:dyDescent="0.25">
      <c r="A68" s="76"/>
      <c r="B68" s="1218"/>
      <c r="C68" s="1219" t="s">
        <v>4097</v>
      </c>
      <c r="D68" s="1221">
        <v>0</v>
      </c>
      <c r="E68" s="1221">
        <v>0</v>
      </c>
      <c r="F68" s="1222" t="e">
        <f t="shared" si="3"/>
        <v>#DIV/0!</v>
      </c>
      <c r="G68" s="1222" t="e">
        <f t="shared" si="2"/>
        <v>#DIV/0!</v>
      </c>
      <c r="H68" s="111"/>
    </row>
    <row r="69" spans="1:8" ht="24.95" hidden="1" customHeight="1" x14ac:dyDescent="0.25">
      <c r="A69" s="76"/>
      <c r="B69" s="1218"/>
      <c r="C69" s="1219" t="s">
        <v>4098</v>
      </c>
      <c r="D69" s="1221">
        <v>1000000000</v>
      </c>
      <c r="E69" s="1221">
        <v>981333000</v>
      </c>
      <c r="F69" s="1222">
        <f t="shared" si="3"/>
        <v>98.133300000000006</v>
      </c>
      <c r="G69" s="1222">
        <f t="shared" si="2"/>
        <v>98.133300000000006</v>
      </c>
      <c r="H69" s="111"/>
    </row>
    <row r="70" spans="1:8" ht="24.95" hidden="1" customHeight="1" x14ac:dyDescent="0.25">
      <c r="A70" s="76"/>
      <c r="B70" s="1218"/>
      <c r="C70" s="1219" t="s">
        <v>4099</v>
      </c>
      <c r="D70" s="1221">
        <v>1000000000</v>
      </c>
      <c r="E70" s="1221">
        <v>930542200</v>
      </c>
      <c r="F70" s="1222">
        <f t="shared" si="3"/>
        <v>93.054220000000001</v>
      </c>
      <c r="G70" s="1222">
        <f t="shared" si="2"/>
        <v>93.054220000000001</v>
      </c>
      <c r="H70" s="111"/>
    </row>
    <row r="71" spans="1:8" ht="24.95" hidden="1" customHeight="1" x14ac:dyDescent="0.25">
      <c r="A71" s="76"/>
      <c r="B71" s="1218"/>
      <c r="C71" s="1219" t="s">
        <v>4100</v>
      </c>
      <c r="D71" s="1221">
        <v>1500000000</v>
      </c>
      <c r="E71" s="1221">
        <v>1498085000</v>
      </c>
      <c r="F71" s="1222">
        <f t="shared" si="3"/>
        <v>99.87233333333333</v>
      </c>
      <c r="G71" s="1222">
        <f t="shared" si="2"/>
        <v>99.87233333333333</v>
      </c>
      <c r="H71" s="111"/>
    </row>
    <row r="72" spans="1:8" ht="24.95" hidden="1" customHeight="1" x14ac:dyDescent="0.25">
      <c r="A72" s="76"/>
      <c r="B72" s="1218"/>
      <c r="C72" s="1228" t="s">
        <v>4101</v>
      </c>
      <c r="D72" s="1225">
        <f>D73</f>
        <v>1800000000</v>
      </c>
      <c r="E72" s="1211">
        <f>+E73</f>
        <v>1736102600</v>
      </c>
      <c r="F72" s="1212">
        <f t="shared" si="3"/>
        <v>96.450144444444447</v>
      </c>
      <c r="G72" s="1212">
        <f t="shared" si="2"/>
        <v>96.450144444444447</v>
      </c>
      <c r="H72" s="111"/>
    </row>
    <row r="73" spans="1:8" ht="24.95" hidden="1" customHeight="1" x14ac:dyDescent="0.25">
      <c r="A73" s="76"/>
      <c r="B73" s="1218"/>
      <c r="C73" s="1219" t="s">
        <v>4102</v>
      </c>
      <c r="D73" s="1221">
        <v>1800000000</v>
      </c>
      <c r="E73" s="1221">
        <v>1736102600</v>
      </c>
      <c r="F73" s="1222">
        <f t="shared" si="3"/>
        <v>96.450144444444447</v>
      </c>
      <c r="G73" s="1222">
        <f t="shared" si="2"/>
        <v>96.450144444444447</v>
      </c>
      <c r="H73" s="111"/>
    </row>
    <row r="74" spans="1:8" ht="24.95" hidden="1" customHeight="1" x14ac:dyDescent="0.25">
      <c r="A74" s="76"/>
      <c r="B74" s="1218"/>
      <c r="C74" s="1229" t="s">
        <v>4103</v>
      </c>
      <c r="D74" s="1225">
        <f>D75</f>
        <v>1200000000</v>
      </c>
      <c r="E74" s="1230">
        <f>+E75</f>
        <v>1153900000</v>
      </c>
      <c r="F74" s="1212">
        <f t="shared" si="3"/>
        <v>96.158333333333331</v>
      </c>
      <c r="G74" s="1212">
        <f t="shared" si="2"/>
        <v>96.158333333333331</v>
      </c>
      <c r="H74" s="111"/>
    </row>
    <row r="75" spans="1:8" ht="24.95" hidden="1" customHeight="1" x14ac:dyDescent="0.25">
      <c r="A75" s="76"/>
      <c r="B75" s="1218"/>
      <c r="C75" s="1219" t="s">
        <v>4104</v>
      </c>
      <c r="D75" s="1221">
        <v>1200000000</v>
      </c>
      <c r="E75" s="1221">
        <v>1153900000</v>
      </c>
      <c r="F75" s="1222">
        <f t="shared" si="3"/>
        <v>96.158333333333331</v>
      </c>
      <c r="G75" s="1222">
        <f t="shared" si="2"/>
        <v>96.158333333333331</v>
      </c>
      <c r="H75" s="111"/>
    </row>
    <row r="76" spans="1:8" s="115" customFormat="1" ht="24.95" hidden="1" customHeight="1" x14ac:dyDescent="0.25">
      <c r="A76" s="157"/>
      <c r="B76" s="1208"/>
      <c r="C76" s="1215" t="s">
        <v>4095</v>
      </c>
      <c r="D76" s="1217">
        <v>29984951294</v>
      </c>
      <c r="E76" s="1217">
        <v>20880453020</v>
      </c>
      <c r="F76" s="1212">
        <f t="shared" si="3"/>
        <v>69.636441344422622</v>
      </c>
      <c r="G76" s="1212">
        <f t="shared" si="2"/>
        <v>69.636441344422622</v>
      </c>
      <c r="H76" s="121"/>
    </row>
    <row r="77" spans="1:8" ht="24.95" hidden="1" customHeight="1" x14ac:dyDescent="0.25">
      <c r="A77" s="76"/>
      <c r="B77" s="1218"/>
      <c r="C77" s="1219" t="s">
        <v>4096</v>
      </c>
      <c r="D77" s="1221">
        <v>29984951294</v>
      </c>
      <c r="E77" s="1221">
        <v>20880453020</v>
      </c>
      <c r="F77" s="1222">
        <f t="shared" si="3"/>
        <v>69.636441344422622</v>
      </c>
      <c r="G77" s="1222">
        <f t="shared" si="2"/>
        <v>69.636441344422622</v>
      </c>
      <c r="H77" s="111"/>
    </row>
    <row r="78" spans="1:8" ht="24.95" hidden="1" customHeight="1" x14ac:dyDescent="0.25">
      <c r="A78" s="76"/>
      <c r="B78" s="1218"/>
      <c r="C78" s="1219"/>
      <c r="D78" s="1221"/>
      <c r="E78" s="1221"/>
      <c r="F78" s="1212"/>
      <c r="G78" s="1212">
        <f t="shared" si="2"/>
        <v>0</v>
      </c>
      <c r="H78" s="111"/>
    </row>
    <row r="79" spans="1:8" s="115" customFormat="1" ht="24.95" customHeight="1" x14ac:dyDescent="0.25">
      <c r="A79" s="157"/>
      <c r="B79" s="1208"/>
      <c r="C79" s="1231" t="s">
        <v>2028</v>
      </c>
      <c r="D79" s="1217">
        <f>+D80+D86+D88</f>
        <v>10000000000</v>
      </c>
      <c r="E79" s="1217">
        <f>+E80+E86+E88</f>
        <v>9693721600</v>
      </c>
      <c r="F79" s="1212">
        <f t="shared" si="3"/>
        <v>96.937216000000006</v>
      </c>
      <c r="G79" s="1212">
        <f t="shared" si="2"/>
        <v>96.937216000000006</v>
      </c>
      <c r="H79" s="121"/>
    </row>
    <row r="80" spans="1:8" s="115" customFormat="1" ht="24.95" hidden="1" customHeight="1" x14ac:dyDescent="0.25">
      <c r="A80" s="157"/>
      <c r="B80" s="1208"/>
      <c r="C80" s="1215" t="s">
        <v>729</v>
      </c>
      <c r="D80" s="1217">
        <v>7000000000</v>
      </c>
      <c r="E80" s="1217">
        <v>6803719000</v>
      </c>
      <c r="F80" s="1212">
        <f t="shared" si="3"/>
        <v>97.195985714285712</v>
      </c>
      <c r="G80" s="1212">
        <f t="shared" si="2"/>
        <v>97.195985714285712</v>
      </c>
      <c r="H80" s="121"/>
    </row>
    <row r="81" spans="1:8" ht="24.95" hidden="1" customHeight="1" x14ac:dyDescent="0.25">
      <c r="A81" s="76"/>
      <c r="B81" s="1218"/>
      <c r="C81" s="1219" t="s">
        <v>4105</v>
      </c>
      <c r="D81" s="1221">
        <v>2500000000</v>
      </c>
      <c r="E81" s="1221">
        <v>2472024900</v>
      </c>
      <c r="F81" s="1222">
        <f t="shared" si="3"/>
        <v>98.880995999999996</v>
      </c>
      <c r="G81" s="1222">
        <f t="shared" si="2"/>
        <v>98.880995999999996</v>
      </c>
      <c r="H81" s="111"/>
    </row>
    <row r="82" spans="1:8" ht="24.95" hidden="1" customHeight="1" x14ac:dyDescent="0.25">
      <c r="A82" s="76"/>
      <c r="B82" s="1218"/>
      <c r="C82" s="1219" t="s">
        <v>4106</v>
      </c>
      <c r="D82" s="1221">
        <v>1000000000</v>
      </c>
      <c r="E82" s="1221">
        <v>921733900</v>
      </c>
      <c r="F82" s="1222">
        <f t="shared" si="3"/>
        <v>92.173389999999998</v>
      </c>
      <c r="G82" s="1222">
        <f t="shared" si="2"/>
        <v>92.173389999999998</v>
      </c>
      <c r="H82" s="111"/>
    </row>
    <row r="83" spans="1:8" ht="24.95" hidden="1" customHeight="1" x14ac:dyDescent="0.25">
      <c r="A83" s="76"/>
      <c r="B83" s="1218"/>
      <c r="C83" s="1219" t="s">
        <v>4098</v>
      </c>
      <c r="D83" s="1221">
        <v>1000000000</v>
      </c>
      <c r="E83" s="1221">
        <v>981333000</v>
      </c>
      <c r="F83" s="1222">
        <f t="shared" si="3"/>
        <v>98.133300000000006</v>
      </c>
      <c r="G83" s="1222">
        <f t="shared" si="2"/>
        <v>98.133300000000006</v>
      </c>
      <c r="H83" s="111"/>
    </row>
    <row r="84" spans="1:8" ht="24.95" hidden="1" customHeight="1" x14ac:dyDescent="0.25">
      <c r="A84" s="76"/>
      <c r="B84" s="1218"/>
      <c r="C84" s="1219" t="s">
        <v>4099</v>
      </c>
      <c r="D84" s="1221">
        <v>1000000000</v>
      </c>
      <c r="E84" s="1221">
        <v>930542200</v>
      </c>
      <c r="F84" s="1222">
        <f t="shared" si="3"/>
        <v>93.054220000000001</v>
      </c>
      <c r="G84" s="1222">
        <f t="shared" si="2"/>
        <v>93.054220000000001</v>
      </c>
      <c r="H84" s="111"/>
    </row>
    <row r="85" spans="1:8" ht="24.95" hidden="1" customHeight="1" x14ac:dyDescent="0.25">
      <c r="A85" s="76"/>
      <c r="B85" s="1218"/>
      <c r="C85" s="1219" t="s">
        <v>4100</v>
      </c>
      <c r="D85" s="1221">
        <v>1500000000</v>
      </c>
      <c r="E85" s="1221">
        <v>1498085000</v>
      </c>
      <c r="F85" s="1222">
        <f t="shared" si="3"/>
        <v>99.87233333333333</v>
      </c>
      <c r="G85" s="1222">
        <f t="shared" si="2"/>
        <v>99.87233333333333</v>
      </c>
      <c r="H85" s="111"/>
    </row>
    <row r="86" spans="1:8" s="115" customFormat="1" ht="24.95" hidden="1" customHeight="1" x14ac:dyDescent="0.25">
      <c r="A86" s="157"/>
      <c r="B86" s="1208"/>
      <c r="C86" s="1215" t="s">
        <v>4101</v>
      </c>
      <c r="D86" s="1217">
        <v>1800000000</v>
      </c>
      <c r="E86" s="1217">
        <v>1736102600</v>
      </c>
      <c r="F86" s="1212">
        <f t="shared" si="3"/>
        <v>96.450144444444447</v>
      </c>
      <c r="G86" s="1212">
        <f t="shared" si="2"/>
        <v>96.450144444444447</v>
      </c>
      <c r="H86" s="121"/>
    </row>
    <row r="87" spans="1:8" ht="24.95" hidden="1" customHeight="1" x14ac:dyDescent="0.25">
      <c r="A87" s="76"/>
      <c r="B87" s="1218"/>
      <c r="C87" s="1219" t="s">
        <v>4102</v>
      </c>
      <c r="D87" s="1221">
        <v>1800000000</v>
      </c>
      <c r="E87" s="1221">
        <v>1736102600</v>
      </c>
      <c r="F87" s="1222">
        <f t="shared" si="3"/>
        <v>96.450144444444447</v>
      </c>
      <c r="G87" s="1222">
        <f t="shared" si="2"/>
        <v>96.450144444444447</v>
      </c>
      <c r="H87" s="111"/>
    </row>
    <row r="88" spans="1:8" s="115" customFormat="1" ht="24.95" hidden="1" customHeight="1" x14ac:dyDescent="0.25">
      <c r="A88" s="157"/>
      <c r="B88" s="1208"/>
      <c r="C88" s="1215" t="s">
        <v>4103</v>
      </c>
      <c r="D88" s="1217">
        <v>1200000000</v>
      </c>
      <c r="E88" s="1217">
        <v>1153900000</v>
      </c>
      <c r="F88" s="1212">
        <f t="shared" si="3"/>
        <v>96.158333333333331</v>
      </c>
      <c r="G88" s="1212">
        <f t="shared" si="2"/>
        <v>96.158333333333331</v>
      </c>
      <c r="H88" s="121"/>
    </row>
    <row r="89" spans="1:8" ht="24.95" hidden="1" customHeight="1" x14ac:dyDescent="0.25">
      <c r="A89" s="76"/>
      <c r="B89" s="1218"/>
      <c r="C89" s="1219" t="s">
        <v>4104</v>
      </c>
      <c r="D89" s="1221">
        <v>1200000000</v>
      </c>
      <c r="E89" s="1221">
        <v>1153900000</v>
      </c>
      <c r="F89" s="1222">
        <f t="shared" si="3"/>
        <v>96.158333333333331</v>
      </c>
      <c r="G89" s="1222">
        <f t="shared" si="2"/>
        <v>96.158333333333331</v>
      </c>
      <c r="H89" s="111"/>
    </row>
    <row r="90" spans="1:8" ht="24.95" hidden="1" customHeight="1" x14ac:dyDescent="0.25">
      <c r="A90" s="76"/>
      <c r="B90" s="1218"/>
      <c r="C90" s="1209"/>
      <c r="D90" s="1232"/>
      <c r="E90" s="1230"/>
      <c r="F90" s="1233"/>
      <c r="G90" s="1212"/>
      <c r="H90" s="111"/>
    </row>
    <row r="91" spans="1:8" ht="24.95" customHeight="1" x14ac:dyDescent="0.25">
      <c r="A91" s="76"/>
      <c r="B91" s="1218"/>
      <c r="C91" s="1213" t="s">
        <v>869</v>
      </c>
      <c r="D91" s="1234">
        <f>+D92+D96+D99+D135</f>
        <v>175000000000</v>
      </c>
      <c r="E91" s="1211">
        <f>+E92+E96+E99+E118</f>
        <v>70395014757</v>
      </c>
      <c r="F91" s="1212">
        <f>+E91/D91*100</f>
        <v>40.225722718285716</v>
      </c>
      <c r="G91" s="1212">
        <f>+F91</f>
        <v>40.225722718285716</v>
      </c>
      <c r="H91" s="111"/>
    </row>
    <row r="92" spans="1:8" s="115" customFormat="1" ht="24.95" hidden="1" customHeight="1" x14ac:dyDescent="0.25">
      <c r="A92" s="157"/>
      <c r="B92" s="1208"/>
      <c r="C92" s="1215" t="s">
        <v>1285</v>
      </c>
      <c r="D92" s="1217">
        <f>+D93+D94+D95</f>
        <v>4137400000</v>
      </c>
      <c r="E92" s="1217">
        <v>1488851862</v>
      </c>
      <c r="F92" s="1212">
        <f t="shared" ref="F92:F136" si="4">+E92/D92*100</f>
        <v>35.985204766278336</v>
      </c>
      <c r="G92" s="1212">
        <f t="shared" ref="G92:G147" si="5">+F92</f>
        <v>35.985204766278336</v>
      </c>
      <c r="H92" s="121"/>
    </row>
    <row r="93" spans="1:8" ht="24.95" hidden="1" customHeight="1" x14ac:dyDescent="0.25">
      <c r="A93" s="76"/>
      <c r="B93" s="1218"/>
      <c r="C93" s="1219" t="s">
        <v>4107</v>
      </c>
      <c r="D93" s="1221">
        <v>1502500000</v>
      </c>
      <c r="E93" s="1221">
        <v>1305923400</v>
      </c>
      <c r="F93" s="1222">
        <f t="shared" si="4"/>
        <v>86.916698835274545</v>
      </c>
      <c r="G93" s="1222">
        <f t="shared" si="5"/>
        <v>86.916698835274545</v>
      </c>
      <c r="H93" s="111"/>
    </row>
    <row r="94" spans="1:8" ht="24.95" hidden="1" customHeight="1" x14ac:dyDescent="0.25">
      <c r="A94" s="76"/>
      <c r="B94" s="1218"/>
      <c r="C94" s="1219" t="s">
        <v>4108</v>
      </c>
      <c r="D94" s="1221">
        <v>880900000</v>
      </c>
      <c r="E94" s="1221">
        <v>153053862</v>
      </c>
      <c r="F94" s="1222">
        <f t="shared" si="4"/>
        <v>17.374714723578158</v>
      </c>
      <c r="G94" s="1222">
        <f t="shared" si="5"/>
        <v>17.374714723578158</v>
      </c>
      <c r="H94" s="111"/>
    </row>
    <row r="95" spans="1:8" ht="24.95" hidden="1" customHeight="1" x14ac:dyDescent="0.25">
      <c r="A95" s="76"/>
      <c r="B95" s="1218"/>
      <c r="C95" s="1219" t="s">
        <v>4109</v>
      </c>
      <c r="D95" s="1221">
        <v>1754000000</v>
      </c>
      <c r="E95" s="1221">
        <v>29874600</v>
      </c>
      <c r="F95" s="1222">
        <f t="shared" si="4"/>
        <v>1.7032269099201822</v>
      </c>
      <c r="G95" s="1222">
        <f t="shared" si="5"/>
        <v>1.7032269099201822</v>
      </c>
      <c r="H95" s="111"/>
    </row>
    <row r="96" spans="1:8" s="115" customFormat="1" ht="24.95" hidden="1" customHeight="1" x14ac:dyDescent="0.25">
      <c r="A96" s="157"/>
      <c r="B96" s="1208"/>
      <c r="C96" s="1215" t="s">
        <v>1595</v>
      </c>
      <c r="D96" s="1217">
        <v>4089000000</v>
      </c>
      <c r="E96" s="1217">
        <v>3330272500</v>
      </c>
      <c r="F96" s="1212">
        <f t="shared" si="4"/>
        <v>81.444668623135243</v>
      </c>
      <c r="G96" s="1212">
        <f t="shared" si="5"/>
        <v>81.444668623135243</v>
      </c>
      <c r="H96" s="121"/>
    </row>
    <row r="97" spans="1:8" ht="24.95" hidden="1" customHeight="1" x14ac:dyDescent="0.25">
      <c r="A97" s="76"/>
      <c r="B97" s="1218"/>
      <c r="C97" s="1219" t="s">
        <v>4110</v>
      </c>
      <c r="D97" s="1221">
        <v>2006500000</v>
      </c>
      <c r="E97" s="1221">
        <v>1720207700</v>
      </c>
      <c r="F97" s="1222">
        <f t="shared" si="4"/>
        <v>85.731756790431106</v>
      </c>
      <c r="G97" s="1222">
        <f t="shared" si="5"/>
        <v>85.731756790431106</v>
      </c>
      <c r="H97" s="111"/>
    </row>
    <row r="98" spans="1:8" ht="24.95" hidden="1" customHeight="1" x14ac:dyDescent="0.25">
      <c r="A98" s="76"/>
      <c r="B98" s="1218"/>
      <c r="C98" s="1219" t="s">
        <v>4111</v>
      </c>
      <c r="D98" s="1221">
        <v>2082500000</v>
      </c>
      <c r="E98" s="1221">
        <v>1610064800</v>
      </c>
      <c r="F98" s="1222">
        <f t="shared" si="4"/>
        <v>77.314036014405758</v>
      </c>
      <c r="G98" s="1222">
        <f t="shared" si="5"/>
        <v>77.314036014405758</v>
      </c>
      <c r="H98" s="111"/>
    </row>
    <row r="99" spans="1:8" s="115" customFormat="1" ht="24.95" hidden="1" customHeight="1" x14ac:dyDescent="0.25">
      <c r="A99" s="157"/>
      <c r="B99" s="1208"/>
      <c r="C99" s="1215" t="s">
        <v>2489</v>
      </c>
      <c r="D99" s="1217">
        <f>SUM(D100:D121)</f>
        <v>164311100000</v>
      </c>
      <c r="E99" s="1217">
        <v>60719737367</v>
      </c>
      <c r="F99" s="1212">
        <f t="shared" si="4"/>
        <v>36.954129920011489</v>
      </c>
      <c r="G99" s="1212">
        <f t="shared" si="5"/>
        <v>36.954129920011489</v>
      </c>
      <c r="H99" s="121"/>
    </row>
    <row r="100" spans="1:8" ht="24.95" hidden="1" customHeight="1" x14ac:dyDescent="0.25">
      <c r="A100" s="76"/>
      <c r="B100" s="1218"/>
      <c r="C100" s="1219" t="s">
        <v>4112</v>
      </c>
      <c r="D100" s="1221">
        <v>5703600000</v>
      </c>
      <c r="E100" s="1221">
        <v>2155231203</v>
      </c>
      <c r="F100" s="1222">
        <f t="shared" si="4"/>
        <v>37.787208131706294</v>
      </c>
      <c r="G100" s="1222">
        <f t="shared" si="5"/>
        <v>37.787208131706294</v>
      </c>
      <c r="H100" s="111"/>
    </row>
    <row r="101" spans="1:8" ht="24.95" hidden="1" customHeight="1" x14ac:dyDescent="0.25">
      <c r="A101" s="76"/>
      <c r="B101" s="1218"/>
      <c r="C101" s="1219" t="s">
        <v>4113</v>
      </c>
      <c r="D101" s="1221">
        <v>5921500000</v>
      </c>
      <c r="E101" s="1221">
        <v>5555147176</v>
      </c>
      <c r="F101" s="1222">
        <f t="shared" si="4"/>
        <v>93.813175310309887</v>
      </c>
      <c r="G101" s="1222">
        <f t="shared" si="5"/>
        <v>93.813175310309887</v>
      </c>
      <c r="H101" s="111"/>
    </row>
    <row r="102" spans="1:8" ht="24.95" hidden="1" customHeight="1" x14ac:dyDescent="0.25">
      <c r="A102" s="76"/>
      <c r="B102" s="1218"/>
      <c r="C102" s="1219" t="s">
        <v>4114</v>
      </c>
      <c r="D102" s="1221">
        <v>4342500000</v>
      </c>
      <c r="E102" s="1221">
        <v>3931578571</v>
      </c>
      <c r="F102" s="1222">
        <f t="shared" si="4"/>
        <v>90.53721522164652</v>
      </c>
      <c r="G102" s="1222">
        <f t="shared" si="5"/>
        <v>90.53721522164652</v>
      </c>
      <c r="H102" s="111"/>
    </row>
    <row r="103" spans="1:8" ht="24.95" hidden="1" customHeight="1" x14ac:dyDescent="0.25">
      <c r="A103" s="76"/>
      <c r="B103" s="1218"/>
      <c r="C103" s="1219" t="s">
        <v>4115</v>
      </c>
      <c r="D103" s="1221">
        <v>5282500000</v>
      </c>
      <c r="E103" s="1221">
        <v>2025459874</v>
      </c>
      <c r="F103" s="1222">
        <f t="shared" si="4"/>
        <v>38.342827714150495</v>
      </c>
      <c r="G103" s="1222">
        <f t="shared" si="5"/>
        <v>38.342827714150495</v>
      </c>
      <c r="H103" s="111"/>
    </row>
    <row r="104" spans="1:8" ht="24.95" hidden="1" customHeight="1" x14ac:dyDescent="0.25">
      <c r="A104" s="76"/>
      <c r="B104" s="1218"/>
      <c r="C104" s="1219" t="s">
        <v>4116</v>
      </c>
      <c r="D104" s="1221">
        <v>5350500000</v>
      </c>
      <c r="E104" s="1221">
        <v>999466055</v>
      </c>
      <c r="F104" s="1222">
        <f t="shared" si="4"/>
        <v>18.679862723109988</v>
      </c>
      <c r="G104" s="1222">
        <f t="shared" si="5"/>
        <v>18.679862723109988</v>
      </c>
      <c r="H104" s="111"/>
    </row>
    <row r="105" spans="1:8" ht="24.95" hidden="1" customHeight="1" x14ac:dyDescent="0.25">
      <c r="A105" s="76"/>
      <c r="B105" s="1218"/>
      <c r="C105" s="1219" t="s">
        <v>4117</v>
      </c>
      <c r="D105" s="1221">
        <v>25476500000</v>
      </c>
      <c r="E105" s="1221">
        <v>0</v>
      </c>
      <c r="F105" s="1222">
        <f t="shared" si="4"/>
        <v>0</v>
      </c>
      <c r="G105" s="1222">
        <f t="shared" si="5"/>
        <v>0</v>
      </c>
      <c r="H105" s="111"/>
    </row>
    <row r="106" spans="1:8" ht="24.95" hidden="1" customHeight="1" x14ac:dyDescent="0.25">
      <c r="A106" s="76"/>
      <c r="B106" s="1218"/>
      <c r="C106" s="1219" t="s">
        <v>4118</v>
      </c>
      <c r="D106" s="1221">
        <v>5326500000</v>
      </c>
      <c r="E106" s="1221">
        <v>5010375542</v>
      </c>
      <c r="F106" s="1222">
        <f t="shared" si="4"/>
        <v>94.065062273537976</v>
      </c>
      <c r="G106" s="1222">
        <f t="shared" si="5"/>
        <v>94.065062273537976</v>
      </c>
      <c r="H106" s="111"/>
    </row>
    <row r="107" spans="1:8" ht="24.95" hidden="1" customHeight="1" x14ac:dyDescent="0.25">
      <c r="A107" s="76"/>
      <c r="B107" s="1218"/>
      <c r="C107" s="1219" t="s">
        <v>4119</v>
      </c>
      <c r="D107" s="1221">
        <v>5362500000</v>
      </c>
      <c r="E107" s="1221">
        <v>0</v>
      </c>
      <c r="F107" s="1222">
        <f t="shared" si="4"/>
        <v>0</v>
      </c>
      <c r="G107" s="1222">
        <f t="shared" si="5"/>
        <v>0</v>
      </c>
      <c r="H107" s="111"/>
    </row>
    <row r="108" spans="1:8" ht="24.95" hidden="1" customHeight="1" x14ac:dyDescent="0.25">
      <c r="A108" s="76"/>
      <c r="B108" s="1218"/>
      <c r="C108" s="1219" t="s">
        <v>4120</v>
      </c>
      <c r="D108" s="1221">
        <v>5239000000</v>
      </c>
      <c r="E108" s="1221">
        <v>4183015234</v>
      </c>
      <c r="F108" s="1222">
        <f t="shared" si="4"/>
        <v>79.843772361137624</v>
      </c>
      <c r="G108" s="1222">
        <f t="shared" si="5"/>
        <v>79.843772361137624</v>
      </c>
      <c r="H108" s="111"/>
    </row>
    <row r="109" spans="1:8" ht="24.95" hidden="1" customHeight="1" x14ac:dyDescent="0.25">
      <c r="A109" s="76"/>
      <c r="B109" s="1218"/>
      <c r="C109" s="1219" t="s">
        <v>4121</v>
      </c>
      <c r="D109" s="1221">
        <v>5368500000</v>
      </c>
      <c r="E109" s="1221">
        <v>5236574350</v>
      </c>
      <c r="F109" s="1222">
        <f t="shared" si="4"/>
        <v>97.542597559839805</v>
      </c>
      <c r="G109" s="1222">
        <f t="shared" si="5"/>
        <v>97.542597559839805</v>
      </c>
      <c r="H109" s="111"/>
    </row>
    <row r="110" spans="1:8" ht="24.95" hidden="1" customHeight="1" x14ac:dyDescent="0.25">
      <c r="A110" s="76"/>
      <c r="B110" s="1218"/>
      <c r="C110" s="1219" t="s">
        <v>4122</v>
      </c>
      <c r="D110" s="1221">
        <v>5328500000</v>
      </c>
      <c r="E110" s="1221">
        <v>1016984142</v>
      </c>
      <c r="F110" s="1222">
        <f t="shared" si="4"/>
        <v>19.085749122642394</v>
      </c>
      <c r="G110" s="1222">
        <f t="shared" si="5"/>
        <v>19.085749122642394</v>
      </c>
      <c r="H110" s="111"/>
    </row>
    <row r="111" spans="1:8" ht="24.95" hidden="1" customHeight="1" x14ac:dyDescent="0.25">
      <c r="A111" s="76"/>
      <c r="B111" s="1218"/>
      <c r="C111" s="1219" t="s">
        <v>4123</v>
      </c>
      <c r="D111" s="1221">
        <v>5946500000</v>
      </c>
      <c r="E111" s="1221">
        <v>1084639169</v>
      </c>
      <c r="F111" s="1222">
        <f t="shared" si="4"/>
        <v>18.239959118809384</v>
      </c>
      <c r="G111" s="1222">
        <f t="shared" si="5"/>
        <v>18.239959118809384</v>
      </c>
      <c r="H111" s="111"/>
    </row>
    <row r="112" spans="1:8" ht="24.95" hidden="1" customHeight="1" x14ac:dyDescent="0.25">
      <c r="A112" s="76"/>
      <c r="B112" s="1218"/>
      <c r="C112" s="1219" t="s">
        <v>4124</v>
      </c>
      <c r="D112" s="1221">
        <v>5840500000</v>
      </c>
      <c r="E112" s="1221">
        <v>2543162747</v>
      </c>
      <c r="F112" s="1222">
        <f t="shared" si="4"/>
        <v>43.543579265473845</v>
      </c>
      <c r="G112" s="1222">
        <f t="shared" si="5"/>
        <v>43.543579265473845</v>
      </c>
      <c r="H112" s="111"/>
    </row>
    <row r="113" spans="1:8" ht="24.95" hidden="1" customHeight="1" x14ac:dyDescent="0.25">
      <c r="A113" s="76"/>
      <c r="B113" s="1218"/>
      <c r="C113" s="1219" t="s">
        <v>4125</v>
      </c>
      <c r="D113" s="1221">
        <v>20326500000</v>
      </c>
      <c r="E113" s="1221">
        <v>0</v>
      </c>
      <c r="F113" s="1222">
        <f t="shared" si="4"/>
        <v>0</v>
      </c>
      <c r="G113" s="1222">
        <f t="shared" si="5"/>
        <v>0</v>
      </c>
      <c r="H113" s="111"/>
    </row>
    <row r="114" spans="1:8" ht="24.95" hidden="1" customHeight="1" x14ac:dyDescent="0.25">
      <c r="A114" s="76"/>
      <c r="B114" s="1218"/>
      <c r="C114" s="1219" t="s">
        <v>4126</v>
      </c>
      <c r="D114" s="1221">
        <v>5892000000</v>
      </c>
      <c r="E114" s="1221">
        <v>4488928814</v>
      </c>
      <c r="F114" s="1222">
        <f t="shared" si="4"/>
        <v>76.186843414799739</v>
      </c>
      <c r="G114" s="1222">
        <f t="shared" si="5"/>
        <v>76.186843414799739</v>
      </c>
      <c r="H114" s="111"/>
    </row>
    <row r="115" spans="1:8" ht="24.95" hidden="1" customHeight="1" x14ac:dyDescent="0.25">
      <c r="A115" s="76"/>
      <c r="B115" s="1218"/>
      <c r="C115" s="1219" t="s">
        <v>4127</v>
      </c>
      <c r="D115" s="1221">
        <v>5176500000</v>
      </c>
      <c r="E115" s="1221">
        <v>2382755439</v>
      </c>
      <c r="F115" s="1222">
        <f t="shared" si="4"/>
        <v>46.030241263401912</v>
      </c>
      <c r="G115" s="1222">
        <f t="shared" si="5"/>
        <v>46.030241263401912</v>
      </c>
      <c r="H115" s="111"/>
    </row>
    <row r="116" spans="1:8" ht="24.95" hidden="1" customHeight="1" x14ac:dyDescent="0.25">
      <c r="A116" s="76"/>
      <c r="B116" s="1218"/>
      <c r="C116" s="1219" t="s">
        <v>4128</v>
      </c>
      <c r="D116" s="1221">
        <v>3612500000</v>
      </c>
      <c r="E116" s="1221">
        <v>0</v>
      </c>
      <c r="F116" s="1222">
        <f t="shared" si="4"/>
        <v>0</v>
      </c>
      <c r="G116" s="1222">
        <f t="shared" si="5"/>
        <v>0</v>
      </c>
      <c r="H116" s="111"/>
    </row>
    <row r="117" spans="1:8" ht="24.95" hidden="1" customHeight="1" x14ac:dyDescent="0.25">
      <c r="A117" s="76"/>
      <c r="B117" s="1218"/>
      <c r="C117" s="1219" t="s">
        <v>4129</v>
      </c>
      <c r="D117" s="1221">
        <v>17346500000</v>
      </c>
      <c r="E117" s="1221">
        <v>7953953635</v>
      </c>
      <c r="F117" s="1222">
        <f t="shared" si="4"/>
        <v>45.853363128008532</v>
      </c>
      <c r="G117" s="1222">
        <f t="shared" si="5"/>
        <v>45.853363128008532</v>
      </c>
      <c r="H117" s="111"/>
    </row>
    <row r="118" spans="1:8" ht="24.95" hidden="1" customHeight="1" x14ac:dyDescent="0.25">
      <c r="A118" s="76"/>
      <c r="B118" s="1218"/>
      <c r="C118" s="1219" t="s">
        <v>4130</v>
      </c>
      <c r="D118" s="1221">
        <v>5286500000</v>
      </c>
      <c r="E118" s="1221">
        <v>4856153028</v>
      </c>
      <c r="F118" s="1222">
        <f t="shared" si="4"/>
        <v>91.859510602478011</v>
      </c>
      <c r="G118" s="1222">
        <f t="shared" si="5"/>
        <v>91.859510602478011</v>
      </c>
      <c r="H118" s="111"/>
    </row>
    <row r="119" spans="1:8" ht="24.95" hidden="1" customHeight="1" x14ac:dyDescent="0.25">
      <c r="A119" s="76"/>
      <c r="B119" s="1218"/>
      <c r="C119" s="1219" t="s">
        <v>4131</v>
      </c>
      <c r="D119" s="1221">
        <v>1740500000</v>
      </c>
      <c r="E119" s="1221">
        <v>1606978812</v>
      </c>
      <c r="F119" s="1222">
        <f t="shared" si="4"/>
        <v>92.32857293881068</v>
      </c>
      <c r="G119" s="1222">
        <f t="shared" si="5"/>
        <v>92.32857293881068</v>
      </c>
      <c r="H119" s="111"/>
    </row>
    <row r="120" spans="1:8" ht="24.95" hidden="1" customHeight="1" x14ac:dyDescent="0.25">
      <c r="A120" s="76"/>
      <c r="B120" s="1218"/>
      <c r="C120" s="1219" t="s">
        <v>4132</v>
      </c>
      <c r="D120" s="1221">
        <v>5332500000</v>
      </c>
      <c r="E120" s="1221">
        <v>4036646680</v>
      </c>
      <c r="F120" s="1222">
        <f t="shared" si="4"/>
        <v>75.698953211439289</v>
      </c>
      <c r="G120" s="1222">
        <f t="shared" si="5"/>
        <v>75.698953211439289</v>
      </c>
      <c r="H120" s="111"/>
    </row>
    <row r="121" spans="1:8" ht="24.95" hidden="1" customHeight="1" x14ac:dyDescent="0.25">
      <c r="A121" s="76"/>
      <c r="B121" s="1218"/>
      <c r="C121" s="1219" t="s">
        <v>4133</v>
      </c>
      <c r="D121" s="1221">
        <v>9108500000</v>
      </c>
      <c r="E121" s="1221">
        <v>1652686896</v>
      </c>
      <c r="F121" s="1222">
        <f t="shared" si="4"/>
        <v>18.144446352308282</v>
      </c>
      <c r="G121" s="1222">
        <f t="shared" si="5"/>
        <v>18.144446352308282</v>
      </c>
      <c r="H121" s="111"/>
    </row>
    <row r="122" spans="1:8" ht="24.95" hidden="1" customHeight="1" x14ac:dyDescent="0.25">
      <c r="A122" s="76"/>
      <c r="B122" s="1218"/>
      <c r="C122" s="1227" t="s">
        <v>4134</v>
      </c>
      <c r="D122" s="1221">
        <v>2462500000</v>
      </c>
      <c r="E122" s="1221">
        <v>590402270</v>
      </c>
      <c r="F122" s="1222">
        <f t="shared" si="4"/>
        <v>23.975726700507614</v>
      </c>
      <c r="G122" s="1222">
        <f t="shared" si="5"/>
        <v>23.975726700507614</v>
      </c>
      <c r="H122" s="111"/>
    </row>
    <row r="123" spans="1:8" ht="24.95" hidden="1" customHeight="1" x14ac:dyDescent="0.25">
      <c r="A123" s="76"/>
      <c r="B123" s="1218"/>
      <c r="C123" s="1219" t="s">
        <v>4135</v>
      </c>
      <c r="D123" s="1221">
        <v>2462500000</v>
      </c>
      <c r="E123" s="1221">
        <v>590402270</v>
      </c>
      <c r="F123" s="1222">
        <f t="shared" si="4"/>
        <v>23.975726700507614</v>
      </c>
      <c r="G123" s="1222">
        <f t="shared" si="5"/>
        <v>23.975726700507614</v>
      </c>
      <c r="H123" s="111"/>
    </row>
    <row r="124" spans="1:8" ht="24.95" hidden="1" customHeight="1" x14ac:dyDescent="0.25">
      <c r="A124" s="76"/>
      <c r="B124" s="1218"/>
      <c r="C124" s="1219" t="s">
        <v>4136</v>
      </c>
      <c r="D124" s="1221">
        <v>7751050000</v>
      </c>
      <c r="E124" s="1221">
        <v>6540914640</v>
      </c>
      <c r="F124" s="1222">
        <f t="shared" si="4"/>
        <v>84.387465440166181</v>
      </c>
      <c r="G124" s="1222">
        <f t="shared" si="5"/>
        <v>84.387465440166181</v>
      </c>
      <c r="H124" s="111"/>
    </row>
    <row r="125" spans="1:8" ht="24.95" hidden="1" customHeight="1" x14ac:dyDescent="0.25">
      <c r="A125" s="76"/>
      <c r="B125" s="1218"/>
      <c r="C125" s="1219" t="s">
        <v>4137</v>
      </c>
      <c r="D125" s="1221">
        <v>908025000</v>
      </c>
      <c r="E125" s="1221">
        <v>903627033</v>
      </c>
      <c r="F125" s="1222">
        <f t="shared" si="4"/>
        <v>99.515655736350865</v>
      </c>
      <c r="G125" s="1222">
        <f t="shared" si="5"/>
        <v>99.515655736350865</v>
      </c>
      <c r="H125" s="111"/>
    </row>
    <row r="126" spans="1:8" ht="24.95" hidden="1" customHeight="1" x14ac:dyDescent="0.25">
      <c r="A126" s="76"/>
      <c r="B126" s="1218"/>
      <c r="C126" s="1219" t="s">
        <v>4138</v>
      </c>
      <c r="D126" s="1221">
        <v>388250000</v>
      </c>
      <c r="E126" s="1221">
        <v>387067742</v>
      </c>
      <c r="F126" s="1222">
        <f t="shared" si="4"/>
        <v>99.695490534449448</v>
      </c>
      <c r="G126" s="1222">
        <f t="shared" si="5"/>
        <v>99.695490534449448</v>
      </c>
      <c r="H126" s="111"/>
    </row>
    <row r="127" spans="1:8" ht="24.95" hidden="1" customHeight="1" x14ac:dyDescent="0.25">
      <c r="A127" s="76"/>
      <c r="B127" s="1218"/>
      <c r="C127" s="1219" t="s">
        <v>4139</v>
      </c>
      <c r="D127" s="1221">
        <v>1474036232</v>
      </c>
      <c r="E127" s="1221">
        <v>1426952840</v>
      </c>
      <c r="F127" s="1222">
        <f t="shared" si="4"/>
        <v>96.805818542457644</v>
      </c>
      <c r="G127" s="1222">
        <f t="shared" si="5"/>
        <v>96.805818542457644</v>
      </c>
      <c r="H127" s="111"/>
    </row>
    <row r="128" spans="1:8" ht="24.95" hidden="1" customHeight="1" x14ac:dyDescent="0.25">
      <c r="A128" s="76"/>
      <c r="B128" s="1218"/>
      <c r="C128" s="1219" t="s">
        <v>4140</v>
      </c>
      <c r="D128" s="1221">
        <v>2258568208</v>
      </c>
      <c r="E128" s="1221">
        <v>2251290741</v>
      </c>
      <c r="F128" s="1222">
        <f t="shared" si="4"/>
        <v>99.677784050345579</v>
      </c>
      <c r="G128" s="1222">
        <f t="shared" si="5"/>
        <v>99.677784050345579</v>
      </c>
      <c r="H128" s="111"/>
    </row>
    <row r="129" spans="1:8" ht="24.95" hidden="1" customHeight="1" x14ac:dyDescent="0.25">
      <c r="A129" s="76"/>
      <c r="B129" s="1218"/>
      <c r="C129" s="1219" t="s">
        <v>4141</v>
      </c>
      <c r="D129" s="1221">
        <v>983016714</v>
      </c>
      <c r="E129" s="1221">
        <v>981962886</v>
      </c>
      <c r="F129" s="1222">
        <f t="shared" si="4"/>
        <v>99.892796532857318</v>
      </c>
      <c r="G129" s="1222">
        <f t="shared" si="5"/>
        <v>99.892796532857318</v>
      </c>
      <c r="H129" s="111"/>
    </row>
    <row r="130" spans="1:8" ht="24.95" hidden="1" customHeight="1" x14ac:dyDescent="0.25">
      <c r="A130" s="76"/>
      <c r="B130" s="1218"/>
      <c r="C130" s="1219" t="s">
        <v>4142</v>
      </c>
      <c r="D130" s="1221">
        <v>588025000</v>
      </c>
      <c r="E130" s="1221">
        <v>0</v>
      </c>
      <c r="F130" s="1222">
        <f t="shared" si="4"/>
        <v>0</v>
      </c>
      <c r="G130" s="1222">
        <f t="shared" si="5"/>
        <v>0</v>
      </c>
      <c r="H130" s="111"/>
    </row>
    <row r="131" spans="1:8" s="115" customFormat="1" ht="24.95" hidden="1" customHeight="1" x14ac:dyDescent="0.25">
      <c r="A131" s="157"/>
      <c r="B131" s="1208"/>
      <c r="C131" s="1215" t="s">
        <v>356</v>
      </c>
      <c r="D131" s="1217">
        <v>3964050000</v>
      </c>
      <c r="E131" s="1217">
        <v>3536063539</v>
      </c>
      <c r="F131" s="1212">
        <f t="shared" si="4"/>
        <v>89.203303162170002</v>
      </c>
      <c r="G131" s="1212">
        <f t="shared" si="5"/>
        <v>89.203303162170002</v>
      </c>
      <c r="H131" s="121"/>
    </row>
    <row r="132" spans="1:8" ht="24.95" hidden="1" customHeight="1" x14ac:dyDescent="0.25">
      <c r="A132" s="76"/>
      <c r="B132" s="1218"/>
      <c r="C132" s="1219" t="s">
        <v>4143</v>
      </c>
      <c r="D132" s="1221">
        <v>3964050000</v>
      </c>
      <c r="E132" s="1221">
        <v>3536063539</v>
      </c>
      <c r="F132" s="1222">
        <f t="shared" si="4"/>
        <v>89.203303162170002</v>
      </c>
      <c r="G132" s="1222">
        <f t="shared" si="5"/>
        <v>89.203303162170002</v>
      </c>
      <c r="H132" s="111"/>
    </row>
    <row r="133" spans="1:8" s="115" customFormat="1" ht="24.95" hidden="1" customHeight="1" x14ac:dyDescent="0.25">
      <c r="A133" s="157"/>
      <c r="B133" s="1208"/>
      <c r="C133" s="1215" t="s">
        <v>4144</v>
      </c>
      <c r="D133" s="1217">
        <v>7000000000</v>
      </c>
      <c r="E133" s="1217">
        <v>6968160259</v>
      </c>
      <c r="F133" s="1212">
        <f t="shared" si="4"/>
        <v>99.545146557142857</v>
      </c>
      <c r="G133" s="1212">
        <f t="shared" si="5"/>
        <v>99.545146557142857</v>
      </c>
      <c r="H133" s="121"/>
    </row>
    <row r="134" spans="1:8" ht="24.95" hidden="1" customHeight="1" x14ac:dyDescent="0.25">
      <c r="A134" s="76"/>
      <c r="B134" s="1218"/>
      <c r="C134" s="1219" t="s">
        <v>4145</v>
      </c>
      <c r="D134" s="1221">
        <v>7000000000</v>
      </c>
      <c r="E134" s="1221">
        <v>6968160259</v>
      </c>
      <c r="F134" s="1222">
        <f t="shared" si="4"/>
        <v>99.545146557142857</v>
      </c>
      <c r="G134" s="1222">
        <f t="shared" si="5"/>
        <v>99.545146557142857</v>
      </c>
      <c r="H134" s="111"/>
    </row>
    <row r="135" spans="1:8" s="115" customFormat="1" ht="24.95" hidden="1" customHeight="1" x14ac:dyDescent="0.25">
      <c r="A135" s="157"/>
      <c r="B135" s="1208"/>
      <c r="C135" s="1215" t="s">
        <v>4134</v>
      </c>
      <c r="D135" s="1217">
        <v>2462500000</v>
      </c>
      <c r="E135" s="1217">
        <v>590402270</v>
      </c>
      <c r="F135" s="1212">
        <f t="shared" si="4"/>
        <v>23.975726700507614</v>
      </c>
      <c r="G135" s="1212">
        <f t="shared" si="5"/>
        <v>23.975726700507614</v>
      </c>
      <c r="H135" s="121"/>
    </row>
    <row r="136" spans="1:8" ht="24.95" hidden="1" customHeight="1" x14ac:dyDescent="0.25">
      <c r="A136" s="76"/>
      <c r="B136" s="1218"/>
      <c r="C136" s="1219" t="s">
        <v>4135</v>
      </c>
      <c r="D136" s="1221">
        <v>2462500000</v>
      </c>
      <c r="E136" s="1221">
        <v>590402270</v>
      </c>
      <c r="F136" s="1222">
        <f t="shared" si="4"/>
        <v>23.975726700507614</v>
      </c>
      <c r="G136" s="1222"/>
      <c r="H136" s="111"/>
    </row>
    <row r="137" spans="1:8" ht="24.95" hidden="1" customHeight="1" x14ac:dyDescent="0.25">
      <c r="A137" s="76"/>
      <c r="B137" s="1218"/>
      <c r="C137" s="1209"/>
      <c r="D137" s="1232"/>
      <c r="E137" s="1230"/>
      <c r="F137" s="1212"/>
      <c r="G137" s="1212"/>
      <c r="H137" s="111"/>
    </row>
    <row r="138" spans="1:8" ht="24.95" customHeight="1" x14ac:dyDescent="0.25">
      <c r="A138" s="76"/>
      <c r="B138" s="1218"/>
      <c r="C138" s="1213" t="s">
        <v>392</v>
      </c>
      <c r="D138" s="1234">
        <f>D139+D142+D144</f>
        <v>881508758000</v>
      </c>
      <c r="E138" s="1211">
        <f>+E139+E142+E144</f>
        <v>787292846558</v>
      </c>
      <c r="F138" s="1212">
        <f t="shared" ref="F138:F144" si="6">+E138/D138*100</f>
        <v>89.311971028426242</v>
      </c>
      <c r="G138" s="1212">
        <f t="shared" si="5"/>
        <v>89.311971028426242</v>
      </c>
      <c r="H138" s="111"/>
    </row>
    <row r="139" spans="1:8" s="115" customFormat="1" ht="24.95" hidden="1" customHeight="1" x14ac:dyDescent="0.25">
      <c r="A139" s="157"/>
      <c r="B139" s="1208"/>
      <c r="C139" s="1228" t="s">
        <v>4146</v>
      </c>
      <c r="D139" s="1225">
        <f>SUM(D140:D141)</f>
        <v>64305284275</v>
      </c>
      <c r="E139" s="1217">
        <v>15114934523</v>
      </c>
      <c r="F139" s="1212">
        <f t="shared" si="6"/>
        <v>23.504964939368509</v>
      </c>
      <c r="G139" s="1212">
        <f t="shared" si="5"/>
        <v>23.504964939368509</v>
      </c>
      <c r="H139" s="121"/>
    </row>
    <row r="140" spans="1:8" ht="24.95" hidden="1" customHeight="1" x14ac:dyDescent="0.25">
      <c r="A140" s="76"/>
      <c r="B140" s="1218"/>
      <c r="C140" s="1233" t="s">
        <v>4147</v>
      </c>
      <c r="D140" s="1220">
        <v>34146526275</v>
      </c>
      <c r="E140" s="1221">
        <v>13117634523</v>
      </c>
      <c r="F140" s="1222">
        <f t="shared" si="6"/>
        <v>38.415721755579952</v>
      </c>
      <c r="G140" s="1222">
        <f t="shared" si="5"/>
        <v>38.415721755579952</v>
      </c>
      <c r="H140" s="111"/>
    </row>
    <row r="141" spans="1:8" ht="24.95" hidden="1" customHeight="1" x14ac:dyDescent="0.25">
      <c r="A141" s="76"/>
      <c r="B141" s="1218"/>
      <c r="C141" s="1233" t="s">
        <v>4148</v>
      </c>
      <c r="D141" s="1220">
        <v>30158758000</v>
      </c>
      <c r="E141" s="1221">
        <v>1997300000</v>
      </c>
      <c r="F141" s="1222">
        <f t="shared" si="6"/>
        <v>6.6226202020653506</v>
      </c>
      <c r="G141" s="1222">
        <f t="shared" si="5"/>
        <v>6.6226202020653506</v>
      </c>
      <c r="H141" s="111"/>
    </row>
    <row r="142" spans="1:8" s="115" customFormat="1" ht="24.95" hidden="1" customHeight="1" x14ac:dyDescent="0.25">
      <c r="A142" s="157"/>
      <c r="B142" s="1208"/>
      <c r="C142" s="1228" t="s">
        <v>4149</v>
      </c>
      <c r="D142" s="1225">
        <f>D143</f>
        <v>708229654725</v>
      </c>
      <c r="E142" s="1217">
        <v>708111018777</v>
      </c>
      <c r="F142" s="1212">
        <f t="shared" si="6"/>
        <v>99.983248943727716</v>
      </c>
      <c r="G142" s="1212">
        <f t="shared" si="5"/>
        <v>99.983248943727716</v>
      </c>
      <c r="H142" s="121"/>
    </row>
    <row r="143" spans="1:8" ht="24.95" hidden="1" customHeight="1" x14ac:dyDescent="0.25">
      <c r="A143" s="76"/>
      <c r="B143" s="1218"/>
      <c r="C143" s="1233" t="s">
        <v>4150</v>
      </c>
      <c r="D143" s="1220">
        <v>708229654725</v>
      </c>
      <c r="E143" s="1221">
        <v>708111018777</v>
      </c>
      <c r="F143" s="1222">
        <f t="shared" si="6"/>
        <v>99.983248943727716</v>
      </c>
      <c r="G143" s="1222">
        <f t="shared" si="5"/>
        <v>99.983248943727716</v>
      </c>
      <c r="H143" s="111"/>
    </row>
    <row r="144" spans="1:8" s="115" customFormat="1" ht="24.95" hidden="1" customHeight="1" x14ac:dyDescent="0.25">
      <c r="A144" s="157"/>
      <c r="B144" s="1208"/>
      <c r="C144" s="1229" t="s">
        <v>4151</v>
      </c>
      <c r="D144" s="1225">
        <f>SUM(D145:D147)</f>
        <v>108973819000</v>
      </c>
      <c r="E144" s="1217">
        <v>64066893258</v>
      </c>
      <c r="F144" s="1212">
        <f t="shared" si="6"/>
        <v>58.791087479461467</v>
      </c>
      <c r="G144" s="1212">
        <f t="shared" si="5"/>
        <v>58.791087479461467</v>
      </c>
      <c r="H144" s="121"/>
    </row>
    <row r="145" spans="1:8" ht="24.95" hidden="1" customHeight="1" x14ac:dyDescent="0.25">
      <c r="A145" s="76"/>
      <c r="B145" s="1218"/>
      <c r="C145" s="1233" t="s">
        <v>4152</v>
      </c>
      <c r="D145" s="1220">
        <v>24938438000</v>
      </c>
      <c r="E145" s="1221">
        <v>0</v>
      </c>
      <c r="F145" s="1222">
        <f t="shared" ref="F145:F162" si="7">+E145/D145*100</f>
        <v>0</v>
      </c>
      <c r="G145" s="1222">
        <f t="shared" si="5"/>
        <v>0</v>
      </c>
      <c r="H145" s="111"/>
    </row>
    <row r="146" spans="1:8" ht="24.95" hidden="1" customHeight="1" x14ac:dyDescent="0.25">
      <c r="A146" s="76"/>
      <c r="B146" s="1218"/>
      <c r="C146" s="1233" t="s">
        <v>4153</v>
      </c>
      <c r="D146" s="1220">
        <v>32385381000</v>
      </c>
      <c r="E146" s="1221">
        <v>13289285400</v>
      </c>
      <c r="F146" s="1222">
        <f t="shared" si="7"/>
        <v>41.034828029350649</v>
      </c>
      <c r="G146" s="1222">
        <f t="shared" si="5"/>
        <v>41.034828029350649</v>
      </c>
      <c r="H146" s="111"/>
    </row>
    <row r="147" spans="1:8" ht="24.95" hidden="1" customHeight="1" x14ac:dyDescent="0.25">
      <c r="A147" s="76"/>
      <c r="B147" s="1218"/>
      <c r="C147" s="1233" t="s">
        <v>4154</v>
      </c>
      <c r="D147" s="1220">
        <v>51650000000</v>
      </c>
      <c r="E147" s="1221">
        <v>50777607858</v>
      </c>
      <c r="F147" s="1222">
        <f t="shared" si="7"/>
        <v>98.310954226524686</v>
      </c>
      <c r="G147" s="1222">
        <f t="shared" si="5"/>
        <v>98.310954226524686</v>
      </c>
      <c r="H147" s="111"/>
    </row>
    <row r="148" spans="1:8" ht="24.95" hidden="1" customHeight="1" x14ac:dyDescent="0.25">
      <c r="A148" s="76"/>
      <c r="B148" s="1218"/>
      <c r="C148" s="1219"/>
      <c r="D148" s="1221"/>
      <c r="E148" s="1221"/>
      <c r="F148" s="1212"/>
      <c r="G148" s="1212"/>
      <c r="H148" s="111"/>
    </row>
    <row r="149" spans="1:8" s="115" customFormat="1" ht="24.95" customHeight="1" x14ac:dyDescent="0.25">
      <c r="A149" s="157"/>
      <c r="B149" s="1208"/>
      <c r="C149" s="1231" t="s">
        <v>348</v>
      </c>
      <c r="D149" s="1217">
        <f>+D150+D159+D161</f>
        <v>35000000000</v>
      </c>
      <c r="E149" s="1217">
        <f>+E150+E159+E161</f>
        <v>27042489803.32</v>
      </c>
      <c r="F149" s="1212">
        <f t="shared" si="7"/>
        <v>77.264256580914278</v>
      </c>
      <c r="G149" s="1212">
        <f>+F149</f>
        <v>77.264256580914278</v>
      </c>
      <c r="H149" s="121"/>
    </row>
    <row r="150" spans="1:8" s="115" customFormat="1" ht="24.95" hidden="1" customHeight="1" x14ac:dyDescent="0.25">
      <c r="A150" s="157"/>
      <c r="B150" s="1208"/>
      <c r="C150" s="1215" t="s">
        <v>349</v>
      </c>
      <c r="D150" s="1217">
        <v>24035950000</v>
      </c>
      <c r="E150" s="1217">
        <v>16538266005.32</v>
      </c>
      <c r="F150" s="1212">
        <f t="shared" si="7"/>
        <v>68.806375472240532</v>
      </c>
      <c r="G150" s="1212">
        <f t="shared" ref="G150:G192" si="8">+F150</f>
        <v>68.806375472240532</v>
      </c>
      <c r="H150" s="121"/>
    </row>
    <row r="151" spans="1:8" ht="24.95" hidden="1" customHeight="1" x14ac:dyDescent="0.25">
      <c r="A151" s="76"/>
      <c r="B151" s="1218"/>
      <c r="C151" s="1219" t="s">
        <v>4155</v>
      </c>
      <c r="D151" s="1221">
        <v>9684978846</v>
      </c>
      <c r="E151" s="1221">
        <v>4046450123.3200002</v>
      </c>
      <c r="F151" s="1222">
        <f t="shared" si="7"/>
        <v>41.780681069749861</v>
      </c>
      <c r="G151" s="1222">
        <f t="shared" si="8"/>
        <v>41.780681069749861</v>
      </c>
      <c r="H151" s="111"/>
    </row>
    <row r="152" spans="1:8" ht="24.95" hidden="1" customHeight="1" x14ac:dyDescent="0.25">
      <c r="A152" s="76"/>
      <c r="B152" s="1218"/>
      <c r="C152" s="1219" t="s">
        <v>4136</v>
      </c>
      <c r="D152" s="1221">
        <v>7751050000</v>
      </c>
      <c r="E152" s="1221">
        <v>6540914640</v>
      </c>
      <c r="F152" s="1222">
        <f t="shared" si="7"/>
        <v>84.387465440166181</v>
      </c>
      <c r="G152" s="1222">
        <f t="shared" si="8"/>
        <v>84.387465440166181</v>
      </c>
      <c r="H152" s="111"/>
    </row>
    <row r="153" spans="1:8" ht="24.95" hidden="1" customHeight="1" x14ac:dyDescent="0.25">
      <c r="A153" s="76"/>
      <c r="B153" s="1218"/>
      <c r="C153" s="1219" t="s">
        <v>4137</v>
      </c>
      <c r="D153" s="1221">
        <v>908025000</v>
      </c>
      <c r="E153" s="1221">
        <v>903627033</v>
      </c>
      <c r="F153" s="1222">
        <f t="shared" si="7"/>
        <v>99.515655736350865</v>
      </c>
      <c r="G153" s="1222">
        <f t="shared" si="8"/>
        <v>99.515655736350865</v>
      </c>
      <c r="H153" s="111"/>
    </row>
    <row r="154" spans="1:8" ht="24.95" hidden="1" customHeight="1" x14ac:dyDescent="0.25">
      <c r="A154" s="76"/>
      <c r="B154" s="1218"/>
      <c r="C154" s="1219" t="s">
        <v>4138</v>
      </c>
      <c r="D154" s="1221">
        <v>388250000</v>
      </c>
      <c r="E154" s="1221">
        <v>387067742</v>
      </c>
      <c r="F154" s="1222">
        <f t="shared" si="7"/>
        <v>99.695490534449448</v>
      </c>
      <c r="G154" s="1222">
        <f t="shared" si="8"/>
        <v>99.695490534449448</v>
      </c>
      <c r="H154" s="111"/>
    </row>
    <row r="155" spans="1:8" ht="24.95" hidden="1" customHeight="1" x14ac:dyDescent="0.25">
      <c r="A155" s="76"/>
      <c r="B155" s="1218"/>
      <c r="C155" s="1219" t="s">
        <v>4139</v>
      </c>
      <c r="D155" s="1221">
        <v>1474036232</v>
      </c>
      <c r="E155" s="1221">
        <v>1426952840</v>
      </c>
      <c r="F155" s="1222">
        <f t="shared" si="7"/>
        <v>96.805818542457644</v>
      </c>
      <c r="G155" s="1222">
        <f t="shared" si="8"/>
        <v>96.805818542457644</v>
      </c>
      <c r="H155" s="111"/>
    </row>
    <row r="156" spans="1:8" ht="24.95" hidden="1" customHeight="1" x14ac:dyDescent="0.25">
      <c r="A156" s="76"/>
      <c r="B156" s="1218"/>
      <c r="C156" s="1219" t="s">
        <v>4140</v>
      </c>
      <c r="D156" s="1221">
        <v>2258568208</v>
      </c>
      <c r="E156" s="1221">
        <v>2251290741</v>
      </c>
      <c r="F156" s="1222">
        <f t="shared" si="7"/>
        <v>99.677784050345579</v>
      </c>
      <c r="G156" s="1222">
        <f t="shared" si="8"/>
        <v>99.677784050345579</v>
      </c>
      <c r="H156" s="111"/>
    </row>
    <row r="157" spans="1:8" ht="24.95" hidden="1" customHeight="1" x14ac:dyDescent="0.25">
      <c r="A157" s="76"/>
      <c r="B157" s="1218"/>
      <c r="C157" s="1219" t="s">
        <v>4141</v>
      </c>
      <c r="D157" s="1221">
        <v>983016714</v>
      </c>
      <c r="E157" s="1221">
        <v>981962886</v>
      </c>
      <c r="F157" s="1222">
        <f t="shared" si="7"/>
        <v>99.892796532857318</v>
      </c>
      <c r="G157" s="1222">
        <f t="shared" si="8"/>
        <v>99.892796532857318</v>
      </c>
      <c r="H157" s="111"/>
    </row>
    <row r="158" spans="1:8" ht="24.95" hidden="1" customHeight="1" x14ac:dyDescent="0.25">
      <c r="A158" s="76"/>
      <c r="B158" s="1218"/>
      <c r="C158" s="1219" t="s">
        <v>4142</v>
      </c>
      <c r="D158" s="1221">
        <v>588025000</v>
      </c>
      <c r="E158" s="1221">
        <v>0</v>
      </c>
      <c r="F158" s="1222">
        <f t="shared" si="7"/>
        <v>0</v>
      </c>
      <c r="G158" s="1222">
        <f t="shared" si="8"/>
        <v>0</v>
      </c>
      <c r="H158" s="111"/>
    </row>
    <row r="159" spans="1:8" s="115" customFormat="1" ht="24.95" hidden="1" customHeight="1" x14ac:dyDescent="0.25">
      <c r="A159" s="157"/>
      <c r="B159" s="1208"/>
      <c r="C159" s="1215" t="s">
        <v>356</v>
      </c>
      <c r="D159" s="1217">
        <v>3964050000</v>
      </c>
      <c r="E159" s="1217">
        <v>3536063539</v>
      </c>
      <c r="F159" s="1212">
        <f t="shared" si="7"/>
        <v>89.203303162170002</v>
      </c>
      <c r="G159" s="1212">
        <f t="shared" si="8"/>
        <v>89.203303162170002</v>
      </c>
      <c r="H159" s="121"/>
    </row>
    <row r="160" spans="1:8" ht="24.95" hidden="1" customHeight="1" x14ac:dyDescent="0.25">
      <c r="A160" s="76"/>
      <c r="B160" s="1218"/>
      <c r="C160" s="1219" t="s">
        <v>4143</v>
      </c>
      <c r="D160" s="1221">
        <v>3964050000</v>
      </c>
      <c r="E160" s="1221">
        <v>3536063539</v>
      </c>
      <c r="F160" s="1222">
        <f t="shared" si="7"/>
        <v>89.203303162170002</v>
      </c>
      <c r="G160" s="1222">
        <f t="shared" si="8"/>
        <v>89.203303162170002</v>
      </c>
      <c r="H160" s="111"/>
    </row>
    <row r="161" spans="1:8" s="115" customFormat="1" ht="24.95" hidden="1" customHeight="1" x14ac:dyDescent="0.25">
      <c r="A161" s="157"/>
      <c r="B161" s="1208"/>
      <c r="C161" s="1215" t="s">
        <v>4144</v>
      </c>
      <c r="D161" s="1217">
        <v>7000000000</v>
      </c>
      <c r="E161" s="1217">
        <v>6968160259</v>
      </c>
      <c r="F161" s="1212">
        <f t="shared" si="7"/>
        <v>99.545146557142857</v>
      </c>
      <c r="G161" s="1212">
        <f t="shared" si="8"/>
        <v>99.545146557142857</v>
      </c>
      <c r="H161" s="121"/>
    </row>
    <row r="162" spans="1:8" ht="24.95" hidden="1" customHeight="1" x14ac:dyDescent="0.25">
      <c r="A162" s="76"/>
      <c r="B162" s="1218"/>
      <c r="C162" s="1219" t="s">
        <v>4145</v>
      </c>
      <c r="D162" s="1221">
        <v>7000000000</v>
      </c>
      <c r="E162" s="1221">
        <v>6968160259</v>
      </c>
      <c r="F162" s="1222">
        <f t="shared" si="7"/>
        <v>99.545146557142857</v>
      </c>
      <c r="G162" s="1222">
        <f t="shared" si="8"/>
        <v>99.545146557142857</v>
      </c>
      <c r="H162" s="111"/>
    </row>
    <row r="163" spans="1:8" ht="24.95" hidden="1" customHeight="1" x14ac:dyDescent="0.25">
      <c r="A163" s="76"/>
      <c r="B163" s="1218"/>
      <c r="C163" s="1219"/>
      <c r="D163" s="1221"/>
      <c r="E163" s="1221"/>
      <c r="F163" s="1212"/>
      <c r="G163" s="1212">
        <f t="shared" si="8"/>
        <v>0</v>
      </c>
      <c r="H163" s="111"/>
    </row>
    <row r="164" spans="1:8" ht="24.95" customHeight="1" x14ac:dyDescent="0.25">
      <c r="A164" s="76"/>
      <c r="B164" s="1218"/>
      <c r="C164" s="1228" t="s">
        <v>4156</v>
      </c>
      <c r="D164" s="1225">
        <f>+D165+D167+D169+D171+D173+D175+D178+D181</f>
        <v>5000000000</v>
      </c>
      <c r="E164" s="1211">
        <f>+E165+E167+E169+E171+E173+E175+E178+E181</f>
        <v>4518644593</v>
      </c>
      <c r="F164" s="1212">
        <f t="shared" ref="F164:F183" si="9">+E164/D164*100</f>
        <v>90.37289186000001</v>
      </c>
      <c r="G164" s="1212">
        <f t="shared" si="8"/>
        <v>90.37289186000001</v>
      </c>
      <c r="H164" s="111"/>
    </row>
    <row r="165" spans="1:8" s="115" customFormat="1" ht="24.95" hidden="1" customHeight="1" x14ac:dyDescent="0.25">
      <c r="A165" s="157"/>
      <c r="B165" s="1208"/>
      <c r="C165" s="1215" t="s">
        <v>4157</v>
      </c>
      <c r="D165" s="1217">
        <v>268250000</v>
      </c>
      <c r="E165" s="1217">
        <v>233067000</v>
      </c>
      <c r="F165" s="1212">
        <f t="shared" si="9"/>
        <v>86.884249767008399</v>
      </c>
      <c r="G165" s="1212">
        <f t="shared" si="8"/>
        <v>86.884249767008399</v>
      </c>
      <c r="H165" s="121"/>
    </row>
    <row r="166" spans="1:8" ht="24.95" hidden="1" customHeight="1" x14ac:dyDescent="0.25">
      <c r="A166" s="76"/>
      <c r="B166" s="1218"/>
      <c r="C166" s="1219" t="s">
        <v>4158</v>
      </c>
      <c r="D166" s="1221">
        <v>268250000</v>
      </c>
      <c r="E166" s="1221">
        <v>233067000</v>
      </c>
      <c r="F166" s="1222">
        <f t="shared" si="9"/>
        <v>86.884249767008399</v>
      </c>
      <c r="G166" s="1222">
        <f t="shared" si="8"/>
        <v>86.884249767008399</v>
      </c>
      <c r="H166" s="111"/>
    </row>
    <row r="167" spans="1:8" s="115" customFormat="1" ht="24.95" hidden="1" customHeight="1" x14ac:dyDescent="0.25">
      <c r="A167" s="157"/>
      <c r="B167" s="1208"/>
      <c r="C167" s="1223" t="s">
        <v>4159</v>
      </c>
      <c r="D167" s="1217">
        <v>696500000</v>
      </c>
      <c r="E167" s="1217">
        <v>660295441</v>
      </c>
      <c r="F167" s="1212">
        <f t="shared" si="9"/>
        <v>94.801929791816221</v>
      </c>
      <c r="G167" s="1212">
        <f t="shared" si="8"/>
        <v>94.801929791816221</v>
      </c>
      <c r="H167" s="121"/>
    </row>
    <row r="168" spans="1:8" ht="24.95" hidden="1" customHeight="1" x14ac:dyDescent="0.25">
      <c r="A168" s="76"/>
      <c r="B168" s="1218"/>
      <c r="C168" s="1219" t="s">
        <v>4160</v>
      </c>
      <c r="D168" s="1221">
        <v>696500000</v>
      </c>
      <c r="E168" s="1221">
        <v>660295441</v>
      </c>
      <c r="F168" s="1222">
        <f t="shared" si="9"/>
        <v>94.801929791816221</v>
      </c>
      <c r="G168" s="1222">
        <f t="shared" si="8"/>
        <v>94.801929791816221</v>
      </c>
      <c r="H168" s="111"/>
    </row>
    <row r="169" spans="1:8" s="115" customFormat="1" ht="24.95" hidden="1" customHeight="1" x14ac:dyDescent="0.25">
      <c r="A169" s="157"/>
      <c r="B169" s="1208"/>
      <c r="C169" s="1215" t="s">
        <v>4161</v>
      </c>
      <c r="D169" s="1217">
        <v>473125000</v>
      </c>
      <c r="E169" s="1217">
        <v>467402000</v>
      </c>
      <c r="F169" s="1212">
        <f t="shared" si="9"/>
        <v>98.790383091149266</v>
      </c>
      <c r="G169" s="1212">
        <f t="shared" si="8"/>
        <v>98.790383091149266</v>
      </c>
      <c r="H169" s="121"/>
    </row>
    <row r="170" spans="1:8" ht="24.95" hidden="1" customHeight="1" x14ac:dyDescent="0.25">
      <c r="A170" s="76"/>
      <c r="B170" s="1218"/>
      <c r="C170" s="1219" t="s">
        <v>4162</v>
      </c>
      <c r="D170" s="1221">
        <v>473125000</v>
      </c>
      <c r="E170" s="1221">
        <v>467402000</v>
      </c>
      <c r="F170" s="1222">
        <f t="shared" si="9"/>
        <v>98.790383091149266</v>
      </c>
      <c r="G170" s="1222">
        <f t="shared" si="8"/>
        <v>98.790383091149266</v>
      </c>
      <c r="H170" s="111"/>
    </row>
    <row r="171" spans="1:8" s="115" customFormat="1" ht="24.95" hidden="1" customHeight="1" x14ac:dyDescent="0.25">
      <c r="A171" s="157"/>
      <c r="B171" s="1208"/>
      <c r="C171" s="1223" t="s">
        <v>4163</v>
      </c>
      <c r="D171" s="1217">
        <v>910750000</v>
      </c>
      <c r="E171" s="1217">
        <v>874414600</v>
      </c>
      <c r="F171" s="1212">
        <f t="shared" si="9"/>
        <v>96.010387043645352</v>
      </c>
      <c r="G171" s="1212">
        <f t="shared" si="8"/>
        <v>96.010387043645352</v>
      </c>
      <c r="H171" s="121"/>
    </row>
    <row r="172" spans="1:8" ht="24.95" hidden="1" customHeight="1" x14ac:dyDescent="0.25">
      <c r="A172" s="76"/>
      <c r="B172" s="1218"/>
      <c r="C172" s="1219" t="s">
        <v>4164</v>
      </c>
      <c r="D172" s="1221">
        <v>910750000</v>
      </c>
      <c r="E172" s="1221">
        <v>874414600</v>
      </c>
      <c r="F172" s="1222">
        <f t="shared" si="9"/>
        <v>96.010387043645352</v>
      </c>
      <c r="G172" s="1222">
        <f t="shared" si="8"/>
        <v>96.010387043645352</v>
      </c>
      <c r="H172" s="111"/>
    </row>
    <row r="173" spans="1:8" s="115" customFormat="1" ht="24.95" hidden="1" customHeight="1" x14ac:dyDescent="0.25">
      <c r="A173" s="157"/>
      <c r="B173" s="1208"/>
      <c r="C173" s="1215" t="s">
        <v>4165</v>
      </c>
      <c r="D173" s="1217">
        <v>839700000</v>
      </c>
      <c r="E173" s="1217">
        <v>573087502</v>
      </c>
      <c r="F173" s="1212">
        <f t="shared" si="9"/>
        <v>68.249077289508151</v>
      </c>
      <c r="G173" s="1212">
        <f t="shared" si="8"/>
        <v>68.249077289508151</v>
      </c>
      <c r="H173" s="121"/>
    </row>
    <row r="174" spans="1:8" ht="24.95" hidden="1" customHeight="1" x14ac:dyDescent="0.25">
      <c r="A174" s="76"/>
      <c r="B174" s="1218"/>
      <c r="C174" s="1219" t="s">
        <v>4166</v>
      </c>
      <c r="D174" s="1221">
        <v>839700000</v>
      </c>
      <c r="E174" s="1221">
        <v>573087502</v>
      </c>
      <c r="F174" s="1222">
        <f t="shared" si="9"/>
        <v>68.249077289508151</v>
      </c>
      <c r="G174" s="1222">
        <f t="shared" si="8"/>
        <v>68.249077289508151</v>
      </c>
      <c r="H174" s="111"/>
    </row>
    <row r="175" spans="1:8" s="115" customFormat="1" ht="24.95" hidden="1" customHeight="1" x14ac:dyDescent="0.25">
      <c r="A175" s="157"/>
      <c r="B175" s="1208"/>
      <c r="C175" s="1215" t="s">
        <v>4167</v>
      </c>
      <c r="D175" s="1217">
        <v>321700000</v>
      </c>
      <c r="E175" s="1217">
        <v>243164200</v>
      </c>
      <c r="F175" s="1212">
        <f t="shared" si="9"/>
        <v>75.587255206714332</v>
      </c>
      <c r="G175" s="1212">
        <f t="shared" si="8"/>
        <v>75.587255206714332</v>
      </c>
      <c r="H175" s="121"/>
    </row>
    <row r="176" spans="1:8" ht="24.95" hidden="1" customHeight="1" x14ac:dyDescent="0.25">
      <c r="A176" s="76"/>
      <c r="B176" s="1218"/>
      <c r="C176" s="1219" t="s">
        <v>4168</v>
      </c>
      <c r="D176" s="1221">
        <v>246700000</v>
      </c>
      <c r="E176" s="1221">
        <v>243164200</v>
      </c>
      <c r="F176" s="1222">
        <f t="shared" si="9"/>
        <v>98.566761248479935</v>
      </c>
      <c r="G176" s="1222">
        <f t="shared" si="8"/>
        <v>98.566761248479935</v>
      </c>
      <c r="H176" s="111"/>
    </row>
    <row r="177" spans="1:8" ht="24.95" hidden="1" customHeight="1" x14ac:dyDescent="0.25">
      <c r="A177" s="76"/>
      <c r="B177" s="1218"/>
      <c r="C177" s="1219" t="s">
        <v>4169</v>
      </c>
      <c r="D177" s="1221">
        <v>75000000</v>
      </c>
      <c r="E177" s="1221">
        <v>0</v>
      </c>
      <c r="F177" s="1222">
        <f t="shared" si="9"/>
        <v>0</v>
      </c>
      <c r="G177" s="1222">
        <f t="shared" si="8"/>
        <v>0</v>
      </c>
      <c r="H177" s="111"/>
    </row>
    <row r="178" spans="1:8" s="115" customFormat="1" ht="24.95" hidden="1" customHeight="1" x14ac:dyDescent="0.25">
      <c r="A178" s="157"/>
      <c r="B178" s="1208"/>
      <c r="C178" s="1231" t="s">
        <v>4170</v>
      </c>
      <c r="D178" s="1217">
        <v>728150000</v>
      </c>
      <c r="E178" s="1217">
        <v>723427000</v>
      </c>
      <c r="F178" s="1212">
        <f t="shared" si="9"/>
        <v>99.351369910046003</v>
      </c>
      <c r="G178" s="1212">
        <f t="shared" si="8"/>
        <v>99.351369910046003</v>
      </c>
      <c r="H178" s="121"/>
    </row>
    <row r="179" spans="1:8" ht="24.95" hidden="1" customHeight="1" x14ac:dyDescent="0.25">
      <c r="A179" s="76"/>
      <c r="B179" s="1218"/>
      <c r="C179" s="1219" t="s">
        <v>4171</v>
      </c>
      <c r="D179" s="1221">
        <v>393950000</v>
      </c>
      <c r="E179" s="1221">
        <v>390427000</v>
      </c>
      <c r="F179" s="1222">
        <f t="shared" si="9"/>
        <v>99.10572407665947</v>
      </c>
      <c r="G179" s="1222">
        <f t="shared" si="8"/>
        <v>99.10572407665947</v>
      </c>
      <c r="H179" s="111"/>
    </row>
    <row r="180" spans="1:8" ht="24.95" hidden="1" customHeight="1" x14ac:dyDescent="0.25">
      <c r="A180" s="76"/>
      <c r="B180" s="1218"/>
      <c r="C180" s="1219" t="s">
        <v>4172</v>
      </c>
      <c r="D180" s="1221">
        <v>334200000</v>
      </c>
      <c r="E180" s="1221">
        <v>333000000</v>
      </c>
      <c r="F180" s="1222">
        <f t="shared" si="9"/>
        <v>99.640933572710949</v>
      </c>
      <c r="G180" s="1222">
        <f t="shared" si="8"/>
        <v>99.640933572710949</v>
      </c>
      <c r="H180" s="111"/>
    </row>
    <row r="181" spans="1:8" s="115" customFormat="1" ht="24.95" hidden="1" customHeight="1" x14ac:dyDescent="0.25">
      <c r="A181" s="157"/>
      <c r="B181" s="1208"/>
      <c r="C181" s="1223" t="s">
        <v>4173</v>
      </c>
      <c r="D181" s="1217">
        <v>761825000</v>
      </c>
      <c r="E181" s="1217">
        <v>743786850</v>
      </c>
      <c r="F181" s="1212">
        <f t="shared" si="9"/>
        <v>97.632244938141966</v>
      </c>
      <c r="G181" s="1212">
        <f t="shared" si="8"/>
        <v>97.632244938141966</v>
      </c>
      <c r="H181" s="121"/>
    </row>
    <row r="182" spans="1:8" ht="24.95" hidden="1" customHeight="1" x14ac:dyDescent="0.25">
      <c r="A182" s="76"/>
      <c r="B182" s="1218"/>
      <c r="C182" s="1219" t="s">
        <v>4174</v>
      </c>
      <c r="D182" s="1221">
        <v>517575000</v>
      </c>
      <c r="E182" s="1221">
        <v>505518450</v>
      </c>
      <c r="F182" s="1222">
        <f t="shared" si="9"/>
        <v>97.670569482683661</v>
      </c>
      <c r="G182" s="1222">
        <f t="shared" si="8"/>
        <v>97.670569482683661</v>
      </c>
      <c r="H182" s="111"/>
    </row>
    <row r="183" spans="1:8" ht="24.95" hidden="1" customHeight="1" x14ac:dyDescent="0.25">
      <c r="A183" s="76"/>
      <c r="B183" s="1218"/>
      <c r="C183" s="1219" t="s">
        <v>4175</v>
      </c>
      <c r="D183" s="1221">
        <v>244250000</v>
      </c>
      <c r="E183" s="1221">
        <v>238268400</v>
      </c>
      <c r="F183" s="1222">
        <f t="shared" si="9"/>
        <v>97.551033776867968</v>
      </c>
      <c r="G183" s="1222">
        <f t="shared" si="8"/>
        <v>97.551033776867968</v>
      </c>
      <c r="H183" s="111"/>
    </row>
    <row r="184" spans="1:8" ht="24.95" hidden="1" customHeight="1" x14ac:dyDescent="0.25">
      <c r="A184" s="76"/>
      <c r="B184" s="1218"/>
      <c r="C184" s="1209"/>
      <c r="D184" s="1232"/>
      <c r="E184" s="1230"/>
      <c r="F184" s="1212"/>
      <c r="G184" s="1212">
        <f t="shared" si="8"/>
        <v>0</v>
      </c>
      <c r="H184" s="111"/>
    </row>
    <row r="185" spans="1:8" ht="24.95" customHeight="1" x14ac:dyDescent="0.25">
      <c r="A185" s="76"/>
      <c r="B185" s="1218"/>
      <c r="C185" s="1213" t="s">
        <v>630</v>
      </c>
      <c r="D185" s="1234">
        <f>D186</f>
        <v>2000000000</v>
      </c>
      <c r="E185" s="1211">
        <f>+E186</f>
        <v>1972168093</v>
      </c>
      <c r="F185" s="1212">
        <f>+E185/D185*100</f>
        <v>98.608404649999997</v>
      </c>
      <c r="G185" s="1212">
        <f t="shared" si="8"/>
        <v>98.608404649999997</v>
      </c>
      <c r="H185" s="111"/>
    </row>
    <row r="186" spans="1:8" ht="24.95" hidden="1" customHeight="1" x14ac:dyDescent="0.25">
      <c r="A186" s="76"/>
      <c r="B186" s="1218"/>
      <c r="C186" s="1229" t="s">
        <v>640</v>
      </c>
      <c r="D186" s="1225">
        <f>D187+D188</f>
        <v>2000000000</v>
      </c>
      <c r="E186" s="1211">
        <f>+E187+E188</f>
        <v>1972168093</v>
      </c>
      <c r="F186" s="1212">
        <f>+E186/D186*100</f>
        <v>98.608404649999997</v>
      </c>
      <c r="G186" s="1212">
        <f t="shared" si="8"/>
        <v>98.608404649999997</v>
      </c>
      <c r="H186" s="111"/>
    </row>
    <row r="187" spans="1:8" ht="24.95" hidden="1" customHeight="1" x14ac:dyDescent="0.25">
      <c r="A187" s="76"/>
      <c r="B187" s="1218"/>
      <c r="C187" s="1219" t="s">
        <v>4176</v>
      </c>
      <c r="D187" s="1221">
        <v>500000000</v>
      </c>
      <c r="E187" s="1221">
        <v>497683168</v>
      </c>
      <c r="F187" s="1222">
        <f>+E187/D187*100</f>
        <v>99.536633600000002</v>
      </c>
      <c r="G187" s="1222">
        <f t="shared" si="8"/>
        <v>99.536633600000002</v>
      </c>
      <c r="H187" s="111"/>
    </row>
    <row r="188" spans="1:8" ht="24.95" hidden="1" customHeight="1" x14ac:dyDescent="0.25">
      <c r="A188" s="76"/>
      <c r="B188" s="1218"/>
      <c r="C188" s="1219" t="s">
        <v>4177</v>
      </c>
      <c r="D188" s="1221">
        <v>1500000000</v>
      </c>
      <c r="E188" s="1221">
        <v>1474484925</v>
      </c>
      <c r="F188" s="1222">
        <f>+E188/D188*100</f>
        <v>98.298995000000005</v>
      </c>
      <c r="G188" s="1222">
        <f t="shared" si="8"/>
        <v>98.298995000000005</v>
      </c>
      <c r="H188" s="111"/>
    </row>
    <row r="189" spans="1:8" ht="24.95" hidden="1" customHeight="1" x14ac:dyDescent="0.25">
      <c r="A189" s="76"/>
      <c r="B189" s="1218"/>
      <c r="C189" s="1235"/>
      <c r="D189" s="1220"/>
      <c r="E189" s="1230"/>
      <c r="F189" s="1212"/>
      <c r="G189" s="1212">
        <f t="shared" si="8"/>
        <v>0</v>
      </c>
      <c r="H189" s="111"/>
    </row>
    <row r="190" spans="1:8" ht="20.100000000000001" customHeight="1" x14ac:dyDescent="0.25">
      <c r="A190" s="76"/>
      <c r="B190" s="1218"/>
      <c r="C190" s="1213" t="s">
        <v>655</v>
      </c>
      <c r="D190" s="1234">
        <v>300000000000</v>
      </c>
      <c r="E190" s="1234">
        <f>+D190</f>
        <v>300000000000</v>
      </c>
      <c r="F190" s="1212">
        <f>+E190/D190*100</f>
        <v>100</v>
      </c>
      <c r="G190" s="1212">
        <f t="shared" si="8"/>
        <v>100</v>
      </c>
      <c r="H190" s="111"/>
    </row>
    <row r="191" spans="1:8" ht="24.95" customHeight="1" x14ac:dyDescent="0.25">
      <c r="A191" s="76"/>
      <c r="B191" s="1218"/>
      <c r="C191" s="1228" t="s">
        <v>4178</v>
      </c>
      <c r="D191" s="1216">
        <f>+D192</f>
        <v>339977772120</v>
      </c>
      <c r="E191" s="1216">
        <f>+E192</f>
        <v>329000000000</v>
      </c>
      <c r="F191" s="1212">
        <f>+E191/D191*100</f>
        <v>96.77103239675175</v>
      </c>
      <c r="G191" s="1212">
        <f t="shared" si="8"/>
        <v>96.77103239675175</v>
      </c>
      <c r="H191" s="111"/>
    </row>
    <row r="192" spans="1:8" ht="24.95" hidden="1" customHeight="1" x14ac:dyDescent="0.25">
      <c r="A192" s="76"/>
      <c r="B192" s="1236"/>
      <c r="C192" s="1237" t="s">
        <v>4179</v>
      </c>
      <c r="D192" s="1238">
        <v>339977772120</v>
      </c>
      <c r="E192" s="1238">
        <v>329000000000</v>
      </c>
      <c r="F192" s="1239">
        <f>+E192/D192*100</f>
        <v>96.77103239675175</v>
      </c>
      <c r="G192" s="1212">
        <f t="shared" si="8"/>
        <v>96.77103239675175</v>
      </c>
      <c r="H192" s="122"/>
    </row>
    <row r="193" spans="1:8" ht="24.95" customHeight="1" thickBot="1" x14ac:dyDescent="0.3">
      <c r="A193" s="76"/>
      <c r="B193" s="1240"/>
      <c r="C193" s="1241"/>
      <c r="D193" s="1242"/>
      <c r="E193" s="1243"/>
      <c r="F193" s="1242"/>
      <c r="G193" s="1244"/>
      <c r="H193" s="160"/>
    </row>
    <row r="194" spans="1:8" ht="24.95" customHeight="1" x14ac:dyDescent="0.25">
      <c r="A194" s="76"/>
      <c r="B194" s="1245"/>
      <c r="C194" s="1246" t="s">
        <v>4180</v>
      </c>
      <c r="D194" s="1247">
        <f>+D190+D185+D164+D149+D138+D91+D79+D14</f>
        <v>2400000000000</v>
      </c>
      <c r="E194" s="1248">
        <f>+E190+E185+E164+E149+E138+E91+E79+E14</f>
        <v>1862045196749.9102</v>
      </c>
      <c r="F194" s="1249">
        <f>+E194/D194*100</f>
        <v>77.58521653124626</v>
      </c>
      <c r="G194" s="1249">
        <f>(G190+G185+G164+G138+G121+G91+G65+G14)/8</f>
        <v>74.787260001100378</v>
      </c>
      <c r="H194" s="1250">
        <f>D194-E194</f>
        <v>537954803250.08984</v>
      </c>
    </row>
    <row r="195" spans="1:8" ht="36" customHeight="1" x14ac:dyDescent="0.25">
      <c r="A195" s="161"/>
      <c r="B195" s="1135"/>
      <c r="C195" s="76"/>
      <c r="D195" s="76"/>
      <c r="E195" s="76"/>
      <c r="F195" s="76"/>
      <c r="G195" s="76"/>
      <c r="H195" s="161"/>
    </row>
    <row r="196" spans="1:8" ht="36" customHeight="1" x14ac:dyDescent="0.25">
      <c r="B196" s="162"/>
      <c r="C196" s="163"/>
    </row>
    <row r="197" spans="1:8" ht="36" customHeight="1" x14ac:dyDescent="0.25">
      <c r="B197" s="162"/>
      <c r="C197" s="164" t="s">
        <v>4181</v>
      </c>
      <c r="D197" s="140"/>
      <c r="E197" s="141"/>
    </row>
    <row r="198" spans="1:8" ht="36" customHeight="1" x14ac:dyDescent="0.25">
      <c r="B198" s="162"/>
      <c r="C198" s="165"/>
      <c r="D198" s="141"/>
    </row>
    <row r="199" spans="1:8" ht="36" customHeight="1" x14ac:dyDescent="0.25">
      <c r="B199" s="162"/>
      <c r="C199" s="165"/>
    </row>
    <row r="200" spans="1:8" ht="36" customHeight="1" x14ac:dyDescent="0.25">
      <c r="C200" s="166"/>
    </row>
    <row r="201" spans="1:8" ht="36" customHeight="1" x14ac:dyDescent="0.25">
      <c r="B201" s="80"/>
      <c r="C201" s="87"/>
    </row>
  </sheetData>
  <mergeCells count="9">
    <mergeCell ref="B9:B10"/>
    <mergeCell ref="C9:C10"/>
    <mergeCell ref="D9:G9"/>
    <mergeCell ref="H9:H10"/>
    <mergeCell ref="B1:H1"/>
    <mergeCell ref="B2:H2"/>
    <mergeCell ref="B3:H3"/>
    <mergeCell ref="B4:H4"/>
    <mergeCell ref="B7:C7"/>
  </mergeCells>
  <printOptions horizontalCentered="1"/>
  <pageMargins left="0.59055118110236227" right="0" top="0" bottom="0" header="0" footer="0"/>
  <pageSetup paperSize="9" scale="75" fitToHeight="0" orientation="portrait" r:id="rId1"/>
  <rowBreaks count="2" manualBreakCount="2">
    <brk id="71" min="1" max="7" man="1"/>
    <brk id="177" min="1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59"/>
  <sheetViews>
    <sheetView view="pageBreakPreview" zoomScale="85" zoomScaleNormal="85" zoomScaleSheetLayoutView="85" workbookViewId="0">
      <selection activeCell="B2" sqref="B2:O2"/>
    </sheetView>
  </sheetViews>
  <sheetFormatPr defaultColWidth="8.85546875" defaultRowHeight="36" customHeight="1" x14ac:dyDescent="0.25"/>
  <cols>
    <col min="1" max="1" width="3.5703125" style="877" customWidth="1"/>
    <col min="2" max="2" width="8" style="890" customWidth="1"/>
    <col min="3" max="3" width="62.28515625" style="877" customWidth="1"/>
    <col min="4" max="4" width="24.42578125" style="1196" customWidth="1"/>
    <col min="5" max="5" width="22.7109375" style="892" hidden="1" customWidth="1"/>
    <col min="6" max="6" width="15.85546875" style="72" customWidth="1"/>
    <col min="7" max="7" width="10.140625" style="877" hidden="1" customWidth="1"/>
    <col min="8" max="8" width="9.42578125" style="877" hidden="1" customWidth="1"/>
    <col min="9" max="9" width="12.42578125" style="877" hidden="1" customWidth="1"/>
    <col min="10" max="10" width="8" style="877" hidden="1" customWidth="1"/>
    <col min="11" max="11" width="9.85546875" style="877" hidden="1" customWidth="1"/>
    <col min="12" max="12" width="9.7109375" style="877" hidden="1" customWidth="1"/>
    <col min="13" max="13" width="12.42578125" style="877" hidden="1" customWidth="1"/>
    <col min="14" max="14" width="9.5703125" style="877" hidden="1" customWidth="1"/>
    <col min="15" max="15" width="8.7109375" style="877" customWidth="1"/>
    <col min="16" max="16" width="3.42578125" style="877" customWidth="1"/>
    <col min="17" max="256" width="8.85546875" style="877"/>
    <col min="257" max="257" width="3.5703125" style="877" customWidth="1"/>
    <col min="258" max="258" width="8" style="877" customWidth="1"/>
    <col min="259" max="259" width="58.5703125" style="877" customWidth="1"/>
    <col min="260" max="260" width="22.7109375" style="877" customWidth="1"/>
    <col min="261" max="261" width="0" style="877" hidden="1" customWidth="1"/>
    <col min="262" max="262" width="11.42578125" style="877" customWidth="1"/>
    <col min="263" max="263" width="15.85546875" style="877" customWidth="1"/>
    <col min="264" max="264" width="17.140625" style="877" customWidth="1"/>
    <col min="265" max="265" width="15.85546875" style="877" customWidth="1"/>
    <col min="266" max="266" width="12.28515625" style="877" customWidth="1"/>
    <col min="267" max="267" width="15.28515625" style="877" customWidth="1"/>
    <col min="268" max="268" width="15.140625" style="877" customWidth="1"/>
    <col min="269" max="269" width="15" style="877" customWidth="1"/>
    <col min="270" max="270" width="12.140625" style="877" customWidth="1"/>
    <col min="271" max="271" width="26.42578125" style="877" customWidth="1"/>
    <col min="272" max="272" width="3.42578125" style="877" customWidth="1"/>
    <col min="273" max="512" width="8.85546875" style="877"/>
    <col min="513" max="513" width="3.5703125" style="877" customWidth="1"/>
    <col min="514" max="514" width="8" style="877" customWidth="1"/>
    <col min="515" max="515" width="58.5703125" style="877" customWidth="1"/>
    <col min="516" max="516" width="22.7109375" style="877" customWidth="1"/>
    <col min="517" max="517" width="0" style="877" hidden="1" customWidth="1"/>
    <col min="518" max="518" width="11.42578125" style="877" customWidth="1"/>
    <col min="519" max="519" width="15.85546875" style="877" customWidth="1"/>
    <col min="520" max="520" width="17.140625" style="877" customWidth="1"/>
    <col min="521" max="521" width="15.85546875" style="877" customWidth="1"/>
    <col min="522" max="522" width="12.28515625" style="877" customWidth="1"/>
    <col min="523" max="523" width="15.28515625" style="877" customWidth="1"/>
    <col min="524" max="524" width="15.140625" style="877" customWidth="1"/>
    <col min="525" max="525" width="15" style="877" customWidth="1"/>
    <col min="526" max="526" width="12.140625" style="877" customWidth="1"/>
    <col min="527" max="527" width="26.42578125" style="877" customWidth="1"/>
    <col min="528" max="528" width="3.42578125" style="877" customWidth="1"/>
    <col min="529" max="768" width="8.85546875" style="877"/>
    <col min="769" max="769" width="3.5703125" style="877" customWidth="1"/>
    <col min="770" max="770" width="8" style="877" customWidth="1"/>
    <col min="771" max="771" width="58.5703125" style="877" customWidth="1"/>
    <col min="772" max="772" width="22.7109375" style="877" customWidth="1"/>
    <col min="773" max="773" width="0" style="877" hidden="1" customWidth="1"/>
    <col min="774" max="774" width="11.42578125" style="877" customWidth="1"/>
    <col min="775" max="775" width="15.85546875" style="877" customWidth="1"/>
    <col min="776" max="776" width="17.140625" style="877" customWidth="1"/>
    <col min="777" max="777" width="15.85546875" style="877" customWidth="1"/>
    <col min="778" max="778" width="12.28515625" style="877" customWidth="1"/>
    <col min="779" max="779" width="15.28515625" style="877" customWidth="1"/>
    <col min="780" max="780" width="15.140625" style="877" customWidth="1"/>
    <col min="781" max="781" width="15" style="877" customWidth="1"/>
    <col min="782" max="782" width="12.140625" style="877" customWidth="1"/>
    <col min="783" max="783" width="26.42578125" style="877" customWidth="1"/>
    <col min="784" max="784" width="3.42578125" style="877" customWidth="1"/>
    <col min="785" max="1024" width="8.85546875" style="877"/>
    <col min="1025" max="1025" width="3.5703125" style="877" customWidth="1"/>
    <col min="1026" max="1026" width="8" style="877" customWidth="1"/>
    <col min="1027" max="1027" width="58.5703125" style="877" customWidth="1"/>
    <col min="1028" max="1028" width="22.7109375" style="877" customWidth="1"/>
    <col min="1029" max="1029" width="0" style="877" hidden="1" customWidth="1"/>
    <col min="1030" max="1030" width="11.42578125" style="877" customWidth="1"/>
    <col min="1031" max="1031" width="15.85546875" style="877" customWidth="1"/>
    <col min="1032" max="1032" width="17.140625" style="877" customWidth="1"/>
    <col min="1033" max="1033" width="15.85546875" style="877" customWidth="1"/>
    <col min="1034" max="1034" width="12.28515625" style="877" customWidth="1"/>
    <col min="1035" max="1035" width="15.28515625" style="877" customWidth="1"/>
    <col min="1036" max="1036" width="15.140625" style="877" customWidth="1"/>
    <col min="1037" max="1037" width="15" style="877" customWidth="1"/>
    <col min="1038" max="1038" width="12.140625" style="877" customWidth="1"/>
    <col min="1039" max="1039" width="26.42578125" style="877" customWidth="1"/>
    <col min="1040" max="1040" width="3.42578125" style="877" customWidth="1"/>
    <col min="1041" max="1280" width="8.85546875" style="877"/>
    <col min="1281" max="1281" width="3.5703125" style="877" customWidth="1"/>
    <col min="1282" max="1282" width="8" style="877" customWidth="1"/>
    <col min="1283" max="1283" width="58.5703125" style="877" customWidth="1"/>
    <col min="1284" max="1284" width="22.7109375" style="877" customWidth="1"/>
    <col min="1285" max="1285" width="0" style="877" hidden="1" customWidth="1"/>
    <col min="1286" max="1286" width="11.42578125" style="877" customWidth="1"/>
    <col min="1287" max="1287" width="15.85546875" style="877" customWidth="1"/>
    <col min="1288" max="1288" width="17.140625" style="877" customWidth="1"/>
    <col min="1289" max="1289" width="15.85546875" style="877" customWidth="1"/>
    <col min="1290" max="1290" width="12.28515625" style="877" customWidth="1"/>
    <col min="1291" max="1291" width="15.28515625" style="877" customWidth="1"/>
    <col min="1292" max="1292" width="15.140625" style="877" customWidth="1"/>
    <col min="1293" max="1293" width="15" style="877" customWidth="1"/>
    <col min="1294" max="1294" width="12.140625" style="877" customWidth="1"/>
    <col min="1295" max="1295" width="26.42578125" style="877" customWidth="1"/>
    <col min="1296" max="1296" width="3.42578125" style="877" customWidth="1"/>
    <col min="1297" max="1536" width="8.85546875" style="877"/>
    <col min="1537" max="1537" width="3.5703125" style="877" customWidth="1"/>
    <col min="1538" max="1538" width="8" style="877" customWidth="1"/>
    <col min="1539" max="1539" width="58.5703125" style="877" customWidth="1"/>
    <col min="1540" max="1540" width="22.7109375" style="877" customWidth="1"/>
    <col min="1541" max="1541" width="0" style="877" hidden="1" customWidth="1"/>
    <col min="1542" max="1542" width="11.42578125" style="877" customWidth="1"/>
    <col min="1543" max="1543" width="15.85546875" style="877" customWidth="1"/>
    <col min="1544" max="1544" width="17.140625" style="877" customWidth="1"/>
    <col min="1545" max="1545" width="15.85546875" style="877" customWidth="1"/>
    <col min="1546" max="1546" width="12.28515625" style="877" customWidth="1"/>
    <col min="1547" max="1547" width="15.28515625" style="877" customWidth="1"/>
    <col min="1548" max="1548" width="15.140625" style="877" customWidth="1"/>
    <col min="1549" max="1549" width="15" style="877" customWidth="1"/>
    <col min="1550" max="1550" width="12.140625" style="877" customWidth="1"/>
    <col min="1551" max="1551" width="26.42578125" style="877" customWidth="1"/>
    <col min="1552" max="1552" width="3.42578125" style="877" customWidth="1"/>
    <col min="1553" max="1792" width="8.85546875" style="877"/>
    <col min="1793" max="1793" width="3.5703125" style="877" customWidth="1"/>
    <col min="1794" max="1794" width="8" style="877" customWidth="1"/>
    <col min="1795" max="1795" width="58.5703125" style="877" customWidth="1"/>
    <col min="1796" max="1796" width="22.7109375" style="877" customWidth="1"/>
    <col min="1797" max="1797" width="0" style="877" hidden="1" customWidth="1"/>
    <col min="1798" max="1798" width="11.42578125" style="877" customWidth="1"/>
    <col min="1799" max="1799" width="15.85546875" style="877" customWidth="1"/>
    <col min="1800" max="1800" width="17.140625" style="877" customWidth="1"/>
    <col min="1801" max="1801" width="15.85546875" style="877" customWidth="1"/>
    <col min="1802" max="1802" width="12.28515625" style="877" customWidth="1"/>
    <col min="1803" max="1803" width="15.28515625" style="877" customWidth="1"/>
    <col min="1804" max="1804" width="15.140625" style="877" customWidth="1"/>
    <col min="1805" max="1805" width="15" style="877" customWidth="1"/>
    <col min="1806" max="1806" width="12.140625" style="877" customWidth="1"/>
    <col min="1807" max="1807" width="26.42578125" style="877" customWidth="1"/>
    <col min="1808" max="1808" width="3.42578125" style="877" customWidth="1"/>
    <col min="1809" max="2048" width="8.85546875" style="877"/>
    <col min="2049" max="2049" width="3.5703125" style="877" customWidth="1"/>
    <col min="2050" max="2050" width="8" style="877" customWidth="1"/>
    <col min="2051" max="2051" width="58.5703125" style="877" customWidth="1"/>
    <col min="2052" max="2052" width="22.7109375" style="877" customWidth="1"/>
    <col min="2053" max="2053" width="0" style="877" hidden="1" customWidth="1"/>
    <col min="2054" max="2054" width="11.42578125" style="877" customWidth="1"/>
    <col min="2055" max="2055" width="15.85546875" style="877" customWidth="1"/>
    <col min="2056" max="2056" width="17.140625" style="877" customWidth="1"/>
    <col min="2057" max="2057" width="15.85546875" style="877" customWidth="1"/>
    <col min="2058" max="2058" width="12.28515625" style="877" customWidth="1"/>
    <col min="2059" max="2059" width="15.28515625" style="877" customWidth="1"/>
    <col min="2060" max="2060" width="15.140625" style="877" customWidth="1"/>
    <col min="2061" max="2061" width="15" style="877" customWidth="1"/>
    <col min="2062" max="2062" width="12.140625" style="877" customWidth="1"/>
    <col min="2063" max="2063" width="26.42578125" style="877" customWidth="1"/>
    <col min="2064" max="2064" width="3.42578125" style="877" customWidth="1"/>
    <col min="2065" max="2304" width="8.85546875" style="877"/>
    <col min="2305" max="2305" width="3.5703125" style="877" customWidth="1"/>
    <col min="2306" max="2306" width="8" style="877" customWidth="1"/>
    <col min="2307" max="2307" width="58.5703125" style="877" customWidth="1"/>
    <col min="2308" max="2308" width="22.7109375" style="877" customWidth="1"/>
    <col min="2309" max="2309" width="0" style="877" hidden="1" customWidth="1"/>
    <col min="2310" max="2310" width="11.42578125" style="877" customWidth="1"/>
    <col min="2311" max="2311" width="15.85546875" style="877" customWidth="1"/>
    <col min="2312" max="2312" width="17.140625" style="877" customWidth="1"/>
    <col min="2313" max="2313" width="15.85546875" style="877" customWidth="1"/>
    <col min="2314" max="2314" width="12.28515625" style="877" customWidth="1"/>
    <col min="2315" max="2315" width="15.28515625" style="877" customWidth="1"/>
    <col min="2316" max="2316" width="15.140625" style="877" customWidth="1"/>
    <col min="2317" max="2317" width="15" style="877" customWidth="1"/>
    <col min="2318" max="2318" width="12.140625" style="877" customWidth="1"/>
    <col min="2319" max="2319" width="26.42578125" style="877" customWidth="1"/>
    <col min="2320" max="2320" width="3.42578125" style="877" customWidth="1"/>
    <col min="2321" max="2560" width="8.85546875" style="877"/>
    <col min="2561" max="2561" width="3.5703125" style="877" customWidth="1"/>
    <col min="2562" max="2562" width="8" style="877" customWidth="1"/>
    <col min="2563" max="2563" width="58.5703125" style="877" customWidth="1"/>
    <col min="2564" max="2564" width="22.7109375" style="877" customWidth="1"/>
    <col min="2565" max="2565" width="0" style="877" hidden="1" customWidth="1"/>
    <col min="2566" max="2566" width="11.42578125" style="877" customWidth="1"/>
    <col min="2567" max="2567" width="15.85546875" style="877" customWidth="1"/>
    <col min="2568" max="2568" width="17.140625" style="877" customWidth="1"/>
    <col min="2569" max="2569" width="15.85546875" style="877" customWidth="1"/>
    <col min="2570" max="2570" width="12.28515625" style="877" customWidth="1"/>
    <col min="2571" max="2571" width="15.28515625" style="877" customWidth="1"/>
    <col min="2572" max="2572" width="15.140625" style="877" customWidth="1"/>
    <col min="2573" max="2573" width="15" style="877" customWidth="1"/>
    <col min="2574" max="2574" width="12.140625" style="877" customWidth="1"/>
    <col min="2575" max="2575" width="26.42578125" style="877" customWidth="1"/>
    <col min="2576" max="2576" width="3.42578125" style="877" customWidth="1"/>
    <col min="2577" max="2816" width="8.85546875" style="877"/>
    <col min="2817" max="2817" width="3.5703125" style="877" customWidth="1"/>
    <col min="2818" max="2818" width="8" style="877" customWidth="1"/>
    <col min="2819" max="2819" width="58.5703125" style="877" customWidth="1"/>
    <col min="2820" max="2820" width="22.7109375" style="877" customWidth="1"/>
    <col min="2821" max="2821" width="0" style="877" hidden="1" customWidth="1"/>
    <col min="2822" max="2822" width="11.42578125" style="877" customWidth="1"/>
    <col min="2823" max="2823" width="15.85546875" style="877" customWidth="1"/>
    <col min="2824" max="2824" width="17.140625" style="877" customWidth="1"/>
    <col min="2825" max="2825" width="15.85546875" style="877" customWidth="1"/>
    <col min="2826" max="2826" width="12.28515625" style="877" customWidth="1"/>
    <col min="2827" max="2827" width="15.28515625" style="877" customWidth="1"/>
    <col min="2828" max="2828" width="15.140625" style="877" customWidth="1"/>
    <col min="2829" max="2829" width="15" style="877" customWidth="1"/>
    <col min="2830" max="2830" width="12.140625" style="877" customWidth="1"/>
    <col min="2831" max="2831" width="26.42578125" style="877" customWidth="1"/>
    <col min="2832" max="2832" width="3.42578125" style="877" customWidth="1"/>
    <col min="2833" max="3072" width="8.85546875" style="877"/>
    <col min="3073" max="3073" width="3.5703125" style="877" customWidth="1"/>
    <col min="3074" max="3074" width="8" style="877" customWidth="1"/>
    <col min="3075" max="3075" width="58.5703125" style="877" customWidth="1"/>
    <col min="3076" max="3076" width="22.7109375" style="877" customWidth="1"/>
    <col min="3077" max="3077" width="0" style="877" hidden="1" customWidth="1"/>
    <col min="3078" max="3078" width="11.42578125" style="877" customWidth="1"/>
    <col min="3079" max="3079" width="15.85546875" style="877" customWidth="1"/>
    <col min="3080" max="3080" width="17.140625" style="877" customWidth="1"/>
    <col min="3081" max="3081" width="15.85546875" style="877" customWidth="1"/>
    <col min="3082" max="3082" width="12.28515625" style="877" customWidth="1"/>
    <col min="3083" max="3083" width="15.28515625" style="877" customWidth="1"/>
    <col min="3084" max="3084" width="15.140625" style="877" customWidth="1"/>
    <col min="3085" max="3085" width="15" style="877" customWidth="1"/>
    <col min="3086" max="3086" width="12.140625" style="877" customWidth="1"/>
    <col min="3087" max="3087" width="26.42578125" style="877" customWidth="1"/>
    <col min="3088" max="3088" width="3.42578125" style="877" customWidth="1"/>
    <col min="3089" max="3328" width="8.85546875" style="877"/>
    <col min="3329" max="3329" width="3.5703125" style="877" customWidth="1"/>
    <col min="3330" max="3330" width="8" style="877" customWidth="1"/>
    <col min="3331" max="3331" width="58.5703125" style="877" customWidth="1"/>
    <col min="3332" max="3332" width="22.7109375" style="877" customWidth="1"/>
    <col min="3333" max="3333" width="0" style="877" hidden="1" customWidth="1"/>
    <col min="3334" max="3334" width="11.42578125" style="877" customWidth="1"/>
    <col min="3335" max="3335" width="15.85546875" style="877" customWidth="1"/>
    <col min="3336" max="3336" width="17.140625" style="877" customWidth="1"/>
    <col min="3337" max="3337" width="15.85546875" style="877" customWidth="1"/>
    <col min="3338" max="3338" width="12.28515625" style="877" customWidth="1"/>
    <col min="3339" max="3339" width="15.28515625" style="877" customWidth="1"/>
    <col min="3340" max="3340" width="15.140625" style="877" customWidth="1"/>
    <col min="3341" max="3341" width="15" style="877" customWidth="1"/>
    <col min="3342" max="3342" width="12.140625" style="877" customWidth="1"/>
    <col min="3343" max="3343" width="26.42578125" style="877" customWidth="1"/>
    <col min="3344" max="3344" width="3.42578125" style="877" customWidth="1"/>
    <col min="3345" max="3584" width="8.85546875" style="877"/>
    <col min="3585" max="3585" width="3.5703125" style="877" customWidth="1"/>
    <col min="3586" max="3586" width="8" style="877" customWidth="1"/>
    <col min="3587" max="3587" width="58.5703125" style="877" customWidth="1"/>
    <col min="3588" max="3588" width="22.7109375" style="877" customWidth="1"/>
    <col min="3589" max="3589" width="0" style="877" hidden="1" customWidth="1"/>
    <col min="3590" max="3590" width="11.42578125" style="877" customWidth="1"/>
    <col min="3591" max="3591" width="15.85546875" style="877" customWidth="1"/>
    <col min="3592" max="3592" width="17.140625" style="877" customWidth="1"/>
    <col min="3593" max="3593" width="15.85546875" style="877" customWidth="1"/>
    <col min="3594" max="3594" width="12.28515625" style="877" customWidth="1"/>
    <col min="3595" max="3595" width="15.28515625" style="877" customWidth="1"/>
    <col min="3596" max="3596" width="15.140625" style="877" customWidth="1"/>
    <col min="3597" max="3597" width="15" style="877" customWidth="1"/>
    <col min="3598" max="3598" width="12.140625" style="877" customWidth="1"/>
    <col min="3599" max="3599" width="26.42578125" style="877" customWidth="1"/>
    <col min="3600" max="3600" width="3.42578125" style="877" customWidth="1"/>
    <col min="3601" max="3840" width="8.85546875" style="877"/>
    <col min="3841" max="3841" width="3.5703125" style="877" customWidth="1"/>
    <col min="3842" max="3842" width="8" style="877" customWidth="1"/>
    <col min="3843" max="3843" width="58.5703125" style="877" customWidth="1"/>
    <col min="3844" max="3844" width="22.7109375" style="877" customWidth="1"/>
    <col min="3845" max="3845" width="0" style="877" hidden="1" customWidth="1"/>
    <col min="3846" max="3846" width="11.42578125" style="877" customWidth="1"/>
    <col min="3847" max="3847" width="15.85546875" style="877" customWidth="1"/>
    <col min="3848" max="3848" width="17.140625" style="877" customWidth="1"/>
    <col min="3849" max="3849" width="15.85546875" style="877" customWidth="1"/>
    <col min="3850" max="3850" width="12.28515625" style="877" customWidth="1"/>
    <col min="3851" max="3851" width="15.28515625" style="877" customWidth="1"/>
    <col min="3852" max="3852" width="15.140625" style="877" customWidth="1"/>
    <col min="3853" max="3853" width="15" style="877" customWidth="1"/>
    <col min="3854" max="3854" width="12.140625" style="877" customWidth="1"/>
    <col min="3855" max="3855" width="26.42578125" style="877" customWidth="1"/>
    <col min="3856" max="3856" width="3.42578125" style="877" customWidth="1"/>
    <col min="3857" max="4096" width="8.85546875" style="877"/>
    <col min="4097" max="4097" width="3.5703125" style="877" customWidth="1"/>
    <col min="4098" max="4098" width="8" style="877" customWidth="1"/>
    <col min="4099" max="4099" width="58.5703125" style="877" customWidth="1"/>
    <col min="4100" max="4100" width="22.7109375" style="877" customWidth="1"/>
    <col min="4101" max="4101" width="0" style="877" hidden="1" customWidth="1"/>
    <col min="4102" max="4102" width="11.42578125" style="877" customWidth="1"/>
    <col min="4103" max="4103" width="15.85546875" style="877" customWidth="1"/>
    <col min="4104" max="4104" width="17.140625" style="877" customWidth="1"/>
    <col min="4105" max="4105" width="15.85546875" style="877" customWidth="1"/>
    <col min="4106" max="4106" width="12.28515625" style="877" customWidth="1"/>
    <col min="4107" max="4107" width="15.28515625" style="877" customWidth="1"/>
    <col min="4108" max="4108" width="15.140625" style="877" customWidth="1"/>
    <col min="4109" max="4109" width="15" style="877" customWidth="1"/>
    <col min="4110" max="4110" width="12.140625" style="877" customWidth="1"/>
    <col min="4111" max="4111" width="26.42578125" style="877" customWidth="1"/>
    <col min="4112" max="4112" width="3.42578125" style="877" customWidth="1"/>
    <col min="4113" max="4352" width="8.85546875" style="877"/>
    <col min="4353" max="4353" width="3.5703125" style="877" customWidth="1"/>
    <col min="4354" max="4354" width="8" style="877" customWidth="1"/>
    <col min="4355" max="4355" width="58.5703125" style="877" customWidth="1"/>
    <col min="4356" max="4356" width="22.7109375" style="877" customWidth="1"/>
    <col min="4357" max="4357" width="0" style="877" hidden="1" customWidth="1"/>
    <col min="4358" max="4358" width="11.42578125" style="877" customWidth="1"/>
    <col min="4359" max="4359" width="15.85546875" style="877" customWidth="1"/>
    <col min="4360" max="4360" width="17.140625" style="877" customWidth="1"/>
    <col min="4361" max="4361" width="15.85546875" style="877" customWidth="1"/>
    <col min="4362" max="4362" width="12.28515625" style="877" customWidth="1"/>
    <col min="4363" max="4363" width="15.28515625" style="877" customWidth="1"/>
    <col min="4364" max="4364" width="15.140625" style="877" customWidth="1"/>
    <col min="4365" max="4365" width="15" style="877" customWidth="1"/>
    <col min="4366" max="4366" width="12.140625" style="877" customWidth="1"/>
    <col min="4367" max="4367" width="26.42578125" style="877" customWidth="1"/>
    <col min="4368" max="4368" width="3.42578125" style="877" customWidth="1"/>
    <col min="4369" max="4608" width="8.85546875" style="877"/>
    <col min="4609" max="4609" width="3.5703125" style="877" customWidth="1"/>
    <col min="4610" max="4610" width="8" style="877" customWidth="1"/>
    <col min="4611" max="4611" width="58.5703125" style="877" customWidth="1"/>
    <col min="4612" max="4612" width="22.7109375" style="877" customWidth="1"/>
    <col min="4613" max="4613" width="0" style="877" hidden="1" customWidth="1"/>
    <col min="4614" max="4614" width="11.42578125" style="877" customWidth="1"/>
    <col min="4615" max="4615" width="15.85546875" style="877" customWidth="1"/>
    <col min="4616" max="4616" width="17.140625" style="877" customWidth="1"/>
    <col min="4617" max="4617" width="15.85546875" style="877" customWidth="1"/>
    <col min="4618" max="4618" width="12.28515625" style="877" customWidth="1"/>
    <col min="4619" max="4619" width="15.28515625" style="877" customWidth="1"/>
    <col min="4620" max="4620" width="15.140625" style="877" customWidth="1"/>
    <col min="4621" max="4621" width="15" style="877" customWidth="1"/>
    <col min="4622" max="4622" width="12.140625" style="877" customWidth="1"/>
    <col min="4623" max="4623" width="26.42578125" style="877" customWidth="1"/>
    <col min="4624" max="4624" width="3.42578125" style="877" customWidth="1"/>
    <col min="4625" max="4864" width="8.85546875" style="877"/>
    <col min="4865" max="4865" width="3.5703125" style="877" customWidth="1"/>
    <col min="4866" max="4866" width="8" style="877" customWidth="1"/>
    <col min="4867" max="4867" width="58.5703125" style="877" customWidth="1"/>
    <col min="4868" max="4868" width="22.7109375" style="877" customWidth="1"/>
    <col min="4869" max="4869" width="0" style="877" hidden="1" customWidth="1"/>
    <col min="4870" max="4870" width="11.42578125" style="877" customWidth="1"/>
    <col min="4871" max="4871" width="15.85546875" style="877" customWidth="1"/>
    <col min="4872" max="4872" width="17.140625" style="877" customWidth="1"/>
    <col min="4873" max="4873" width="15.85546875" style="877" customWidth="1"/>
    <col min="4874" max="4874" width="12.28515625" style="877" customWidth="1"/>
    <col min="4875" max="4875" width="15.28515625" style="877" customWidth="1"/>
    <col min="4876" max="4876" width="15.140625" style="877" customWidth="1"/>
    <col min="4877" max="4877" width="15" style="877" customWidth="1"/>
    <col min="4878" max="4878" width="12.140625" style="877" customWidth="1"/>
    <col min="4879" max="4879" width="26.42578125" style="877" customWidth="1"/>
    <col min="4880" max="4880" width="3.42578125" style="877" customWidth="1"/>
    <col min="4881" max="5120" width="8.85546875" style="877"/>
    <col min="5121" max="5121" width="3.5703125" style="877" customWidth="1"/>
    <col min="5122" max="5122" width="8" style="877" customWidth="1"/>
    <col min="5123" max="5123" width="58.5703125" style="877" customWidth="1"/>
    <col min="5124" max="5124" width="22.7109375" style="877" customWidth="1"/>
    <col min="5125" max="5125" width="0" style="877" hidden="1" customWidth="1"/>
    <col min="5126" max="5126" width="11.42578125" style="877" customWidth="1"/>
    <col min="5127" max="5127" width="15.85546875" style="877" customWidth="1"/>
    <col min="5128" max="5128" width="17.140625" style="877" customWidth="1"/>
    <col min="5129" max="5129" width="15.85546875" style="877" customWidth="1"/>
    <col min="5130" max="5130" width="12.28515625" style="877" customWidth="1"/>
    <col min="5131" max="5131" width="15.28515625" style="877" customWidth="1"/>
    <col min="5132" max="5132" width="15.140625" style="877" customWidth="1"/>
    <col min="5133" max="5133" width="15" style="877" customWidth="1"/>
    <col min="5134" max="5134" width="12.140625" style="877" customWidth="1"/>
    <col min="5135" max="5135" width="26.42578125" style="877" customWidth="1"/>
    <col min="5136" max="5136" width="3.42578125" style="877" customWidth="1"/>
    <col min="5137" max="5376" width="8.85546875" style="877"/>
    <col min="5377" max="5377" width="3.5703125" style="877" customWidth="1"/>
    <col min="5378" max="5378" width="8" style="877" customWidth="1"/>
    <col min="5379" max="5379" width="58.5703125" style="877" customWidth="1"/>
    <col min="5380" max="5380" width="22.7109375" style="877" customWidth="1"/>
    <col min="5381" max="5381" width="0" style="877" hidden="1" customWidth="1"/>
    <col min="5382" max="5382" width="11.42578125" style="877" customWidth="1"/>
    <col min="5383" max="5383" width="15.85546875" style="877" customWidth="1"/>
    <col min="5384" max="5384" width="17.140625" style="877" customWidth="1"/>
    <col min="5385" max="5385" width="15.85546875" style="877" customWidth="1"/>
    <col min="5386" max="5386" width="12.28515625" style="877" customWidth="1"/>
    <col min="5387" max="5387" width="15.28515625" style="877" customWidth="1"/>
    <col min="5388" max="5388" width="15.140625" style="877" customWidth="1"/>
    <col min="5389" max="5389" width="15" style="877" customWidth="1"/>
    <col min="5390" max="5390" width="12.140625" style="877" customWidth="1"/>
    <col min="5391" max="5391" width="26.42578125" style="877" customWidth="1"/>
    <col min="5392" max="5392" width="3.42578125" style="877" customWidth="1"/>
    <col min="5393" max="5632" width="8.85546875" style="877"/>
    <col min="5633" max="5633" width="3.5703125" style="877" customWidth="1"/>
    <col min="5634" max="5634" width="8" style="877" customWidth="1"/>
    <col min="5635" max="5635" width="58.5703125" style="877" customWidth="1"/>
    <col min="5636" max="5636" width="22.7109375" style="877" customWidth="1"/>
    <col min="5637" max="5637" width="0" style="877" hidden="1" customWidth="1"/>
    <col min="5638" max="5638" width="11.42578125" style="877" customWidth="1"/>
    <col min="5639" max="5639" width="15.85546875" style="877" customWidth="1"/>
    <col min="5640" max="5640" width="17.140625" style="877" customWidth="1"/>
    <col min="5641" max="5641" width="15.85546875" style="877" customWidth="1"/>
    <col min="5642" max="5642" width="12.28515625" style="877" customWidth="1"/>
    <col min="5643" max="5643" width="15.28515625" style="877" customWidth="1"/>
    <col min="5644" max="5644" width="15.140625" style="877" customWidth="1"/>
    <col min="5645" max="5645" width="15" style="877" customWidth="1"/>
    <col min="5646" max="5646" width="12.140625" style="877" customWidth="1"/>
    <col min="5647" max="5647" width="26.42578125" style="877" customWidth="1"/>
    <col min="5648" max="5648" width="3.42578125" style="877" customWidth="1"/>
    <col min="5649" max="5888" width="8.85546875" style="877"/>
    <col min="5889" max="5889" width="3.5703125" style="877" customWidth="1"/>
    <col min="5890" max="5890" width="8" style="877" customWidth="1"/>
    <col min="5891" max="5891" width="58.5703125" style="877" customWidth="1"/>
    <col min="5892" max="5892" width="22.7109375" style="877" customWidth="1"/>
    <col min="5893" max="5893" width="0" style="877" hidden="1" customWidth="1"/>
    <col min="5894" max="5894" width="11.42578125" style="877" customWidth="1"/>
    <col min="5895" max="5895" width="15.85546875" style="877" customWidth="1"/>
    <col min="5896" max="5896" width="17.140625" style="877" customWidth="1"/>
    <col min="5897" max="5897" width="15.85546875" style="877" customWidth="1"/>
    <col min="5898" max="5898" width="12.28515625" style="877" customWidth="1"/>
    <col min="5899" max="5899" width="15.28515625" style="877" customWidth="1"/>
    <col min="5900" max="5900" width="15.140625" style="877" customWidth="1"/>
    <col min="5901" max="5901" width="15" style="877" customWidth="1"/>
    <col min="5902" max="5902" width="12.140625" style="877" customWidth="1"/>
    <col min="5903" max="5903" width="26.42578125" style="877" customWidth="1"/>
    <col min="5904" max="5904" width="3.42578125" style="877" customWidth="1"/>
    <col min="5905" max="6144" width="8.85546875" style="877"/>
    <col min="6145" max="6145" width="3.5703125" style="877" customWidth="1"/>
    <col min="6146" max="6146" width="8" style="877" customWidth="1"/>
    <col min="6147" max="6147" width="58.5703125" style="877" customWidth="1"/>
    <col min="6148" max="6148" width="22.7109375" style="877" customWidth="1"/>
    <col min="6149" max="6149" width="0" style="877" hidden="1" customWidth="1"/>
    <col min="6150" max="6150" width="11.42578125" style="877" customWidth="1"/>
    <col min="6151" max="6151" width="15.85546875" style="877" customWidth="1"/>
    <col min="6152" max="6152" width="17.140625" style="877" customWidth="1"/>
    <col min="6153" max="6153" width="15.85546875" style="877" customWidth="1"/>
    <col min="6154" max="6154" width="12.28515625" style="877" customWidth="1"/>
    <col min="6155" max="6155" width="15.28515625" style="877" customWidth="1"/>
    <col min="6156" max="6156" width="15.140625" style="877" customWidth="1"/>
    <col min="6157" max="6157" width="15" style="877" customWidth="1"/>
    <col min="6158" max="6158" width="12.140625" style="877" customWidth="1"/>
    <col min="6159" max="6159" width="26.42578125" style="877" customWidth="1"/>
    <col min="6160" max="6160" width="3.42578125" style="877" customWidth="1"/>
    <col min="6161" max="6400" width="8.85546875" style="877"/>
    <col min="6401" max="6401" width="3.5703125" style="877" customWidth="1"/>
    <col min="6402" max="6402" width="8" style="877" customWidth="1"/>
    <col min="6403" max="6403" width="58.5703125" style="877" customWidth="1"/>
    <col min="6404" max="6404" width="22.7109375" style="877" customWidth="1"/>
    <col min="6405" max="6405" width="0" style="877" hidden="1" customWidth="1"/>
    <col min="6406" max="6406" width="11.42578125" style="877" customWidth="1"/>
    <col min="6407" max="6407" width="15.85546875" style="877" customWidth="1"/>
    <col min="6408" max="6408" width="17.140625" style="877" customWidth="1"/>
    <col min="6409" max="6409" width="15.85546875" style="877" customWidth="1"/>
    <col min="6410" max="6410" width="12.28515625" style="877" customWidth="1"/>
    <col min="6411" max="6411" width="15.28515625" style="877" customWidth="1"/>
    <col min="6412" max="6412" width="15.140625" style="877" customWidth="1"/>
    <col min="6413" max="6413" width="15" style="877" customWidth="1"/>
    <col min="6414" max="6414" width="12.140625" style="877" customWidth="1"/>
    <col min="6415" max="6415" width="26.42578125" style="877" customWidth="1"/>
    <col min="6416" max="6416" width="3.42578125" style="877" customWidth="1"/>
    <col min="6417" max="6656" width="8.85546875" style="877"/>
    <col min="6657" max="6657" width="3.5703125" style="877" customWidth="1"/>
    <col min="6658" max="6658" width="8" style="877" customWidth="1"/>
    <col min="6659" max="6659" width="58.5703125" style="877" customWidth="1"/>
    <col min="6660" max="6660" width="22.7109375" style="877" customWidth="1"/>
    <col min="6661" max="6661" width="0" style="877" hidden="1" customWidth="1"/>
    <col min="6662" max="6662" width="11.42578125" style="877" customWidth="1"/>
    <col min="6663" max="6663" width="15.85546875" style="877" customWidth="1"/>
    <col min="6664" max="6664" width="17.140625" style="877" customWidth="1"/>
    <col min="6665" max="6665" width="15.85546875" style="877" customWidth="1"/>
    <col min="6666" max="6666" width="12.28515625" style="877" customWidth="1"/>
    <col min="6667" max="6667" width="15.28515625" style="877" customWidth="1"/>
    <col min="6668" max="6668" width="15.140625" style="877" customWidth="1"/>
    <col min="6669" max="6669" width="15" style="877" customWidth="1"/>
    <col min="6670" max="6670" width="12.140625" style="877" customWidth="1"/>
    <col min="6671" max="6671" width="26.42578125" style="877" customWidth="1"/>
    <col min="6672" max="6672" width="3.42578125" style="877" customWidth="1"/>
    <col min="6673" max="6912" width="8.85546875" style="877"/>
    <col min="6913" max="6913" width="3.5703125" style="877" customWidth="1"/>
    <col min="6914" max="6914" width="8" style="877" customWidth="1"/>
    <col min="6915" max="6915" width="58.5703125" style="877" customWidth="1"/>
    <col min="6916" max="6916" width="22.7109375" style="877" customWidth="1"/>
    <col min="6917" max="6917" width="0" style="877" hidden="1" customWidth="1"/>
    <col min="6918" max="6918" width="11.42578125" style="877" customWidth="1"/>
    <col min="6919" max="6919" width="15.85546875" style="877" customWidth="1"/>
    <col min="6920" max="6920" width="17.140625" style="877" customWidth="1"/>
    <col min="6921" max="6921" width="15.85546875" style="877" customWidth="1"/>
    <col min="6922" max="6922" width="12.28515625" style="877" customWidth="1"/>
    <col min="6923" max="6923" width="15.28515625" style="877" customWidth="1"/>
    <col min="6924" max="6924" width="15.140625" style="877" customWidth="1"/>
    <col min="6925" max="6925" width="15" style="877" customWidth="1"/>
    <col min="6926" max="6926" width="12.140625" style="877" customWidth="1"/>
    <col min="6927" max="6927" width="26.42578125" style="877" customWidth="1"/>
    <col min="6928" max="6928" width="3.42578125" style="877" customWidth="1"/>
    <col min="6929" max="7168" width="8.85546875" style="877"/>
    <col min="7169" max="7169" width="3.5703125" style="877" customWidth="1"/>
    <col min="7170" max="7170" width="8" style="877" customWidth="1"/>
    <col min="7171" max="7171" width="58.5703125" style="877" customWidth="1"/>
    <col min="7172" max="7172" width="22.7109375" style="877" customWidth="1"/>
    <col min="7173" max="7173" width="0" style="877" hidden="1" customWidth="1"/>
    <col min="7174" max="7174" width="11.42578125" style="877" customWidth="1"/>
    <col min="7175" max="7175" width="15.85546875" style="877" customWidth="1"/>
    <col min="7176" max="7176" width="17.140625" style="877" customWidth="1"/>
    <col min="7177" max="7177" width="15.85546875" style="877" customWidth="1"/>
    <col min="7178" max="7178" width="12.28515625" style="877" customWidth="1"/>
    <col min="7179" max="7179" width="15.28515625" style="877" customWidth="1"/>
    <col min="7180" max="7180" width="15.140625" style="877" customWidth="1"/>
    <col min="7181" max="7181" width="15" style="877" customWidth="1"/>
    <col min="7182" max="7182" width="12.140625" style="877" customWidth="1"/>
    <col min="7183" max="7183" width="26.42578125" style="877" customWidth="1"/>
    <col min="7184" max="7184" width="3.42578125" style="877" customWidth="1"/>
    <col min="7185" max="7424" width="8.85546875" style="877"/>
    <col min="7425" max="7425" width="3.5703125" style="877" customWidth="1"/>
    <col min="7426" max="7426" width="8" style="877" customWidth="1"/>
    <col min="7427" max="7427" width="58.5703125" style="877" customWidth="1"/>
    <col min="7428" max="7428" width="22.7109375" style="877" customWidth="1"/>
    <col min="7429" max="7429" width="0" style="877" hidden="1" customWidth="1"/>
    <col min="7430" max="7430" width="11.42578125" style="877" customWidth="1"/>
    <col min="7431" max="7431" width="15.85546875" style="877" customWidth="1"/>
    <col min="7432" max="7432" width="17.140625" style="877" customWidth="1"/>
    <col min="7433" max="7433" width="15.85546875" style="877" customWidth="1"/>
    <col min="7434" max="7434" width="12.28515625" style="877" customWidth="1"/>
    <col min="7435" max="7435" width="15.28515625" style="877" customWidth="1"/>
    <col min="7436" max="7436" width="15.140625" style="877" customWidth="1"/>
    <col min="7437" max="7437" width="15" style="877" customWidth="1"/>
    <col min="7438" max="7438" width="12.140625" style="877" customWidth="1"/>
    <col min="7439" max="7439" width="26.42578125" style="877" customWidth="1"/>
    <col min="7440" max="7440" width="3.42578125" style="877" customWidth="1"/>
    <col min="7441" max="7680" width="8.85546875" style="877"/>
    <col min="7681" max="7681" width="3.5703125" style="877" customWidth="1"/>
    <col min="7682" max="7682" width="8" style="877" customWidth="1"/>
    <col min="7683" max="7683" width="58.5703125" style="877" customWidth="1"/>
    <col min="7684" max="7684" width="22.7109375" style="877" customWidth="1"/>
    <col min="7685" max="7685" width="0" style="877" hidden="1" customWidth="1"/>
    <col min="7686" max="7686" width="11.42578125" style="877" customWidth="1"/>
    <col min="7687" max="7687" width="15.85546875" style="877" customWidth="1"/>
    <col min="7688" max="7688" width="17.140625" style="877" customWidth="1"/>
    <col min="7689" max="7689" width="15.85546875" style="877" customWidth="1"/>
    <col min="7690" max="7690" width="12.28515625" style="877" customWidth="1"/>
    <col min="7691" max="7691" width="15.28515625" style="877" customWidth="1"/>
    <col min="7692" max="7692" width="15.140625" style="877" customWidth="1"/>
    <col min="7693" max="7693" width="15" style="877" customWidth="1"/>
    <col min="7694" max="7694" width="12.140625" style="877" customWidth="1"/>
    <col min="7695" max="7695" width="26.42578125" style="877" customWidth="1"/>
    <col min="7696" max="7696" width="3.42578125" style="877" customWidth="1"/>
    <col min="7697" max="7936" width="8.85546875" style="877"/>
    <col min="7937" max="7937" width="3.5703125" style="877" customWidth="1"/>
    <col min="7938" max="7938" width="8" style="877" customWidth="1"/>
    <col min="7939" max="7939" width="58.5703125" style="877" customWidth="1"/>
    <col min="7940" max="7940" width="22.7109375" style="877" customWidth="1"/>
    <col min="7941" max="7941" width="0" style="877" hidden="1" customWidth="1"/>
    <col min="7942" max="7942" width="11.42578125" style="877" customWidth="1"/>
    <col min="7943" max="7943" width="15.85546875" style="877" customWidth="1"/>
    <col min="7944" max="7944" width="17.140625" style="877" customWidth="1"/>
    <col min="7945" max="7945" width="15.85546875" style="877" customWidth="1"/>
    <col min="7946" max="7946" width="12.28515625" style="877" customWidth="1"/>
    <col min="7947" max="7947" width="15.28515625" style="877" customWidth="1"/>
    <col min="7948" max="7948" width="15.140625" style="877" customWidth="1"/>
    <col min="7949" max="7949" width="15" style="877" customWidth="1"/>
    <col min="7950" max="7950" width="12.140625" style="877" customWidth="1"/>
    <col min="7951" max="7951" width="26.42578125" style="877" customWidth="1"/>
    <col min="7952" max="7952" width="3.42578125" style="877" customWidth="1"/>
    <col min="7953" max="8192" width="8.85546875" style="877"/>
    <col min="8193" max="8193" width="3.5703125" style="877" customWidth="1"/>
    <col min="8194" max="8194" width="8" style="877" customWidth="1"/>
    <col min="8195" max="8195" width="58.5703125" style="877" customWidth="1"/>
    <col min="8196" max="8196" width="22.7109375" style="877" customWidth="1"/>
    <col min="8197" max="8197" width="0" style="877" hidden="1" customWidth="1"/>
    <col min="8198" max="8198" width="11.42578125" style="877" customWidth="1"/>
    <col min="8199" max="8199" width="15.85546875" style="877" customWidth="1"/>
    <col min="8200" max="8200" width="17.140625" style="877" customWidth="1"/>
    <col min="8201" max="8201" width="15.85546875" style="877" customWidth="1"/>
    <col min="8202" max="8202" width="12.28515625" style="877" customWidth="1"/>
    <col min="8203" max="8203" width="15.28515625" style="877" customWidth="1"/>
    <col min="8204" max="8204" width="15.140625" style="877" customWidth="1"/>
    <col min="8205" max="8205" width="15" style="877" customWidth="1"/>
    <col min="8206" max="8206" width="12.140625" style="877" customWidth="1"/>
    <col min="8207" max="8207" width="26.42578125" style="877" customWidth="1"/>
    <col min="8208" max="8208" width="3.42578125" style="877" customWidth="1"/>
    <col min="8209" max="8448" width="8.85546875" style="877"/>
    <col min="8449" max="8449" width="3.5703125" style="877" customWidth="1"/>
    <col min="8450" max="8450" width="8" style="877" customWidth="1"/>
    <col min="8451" max="8451" width="58.5703125" style="877" customWidth="1"/>
    <col min="8452" max="8452" width="22.7109375" style="877" customWidth="1"/>
    <col min="8453" max="8453" width="0" style="877" hidden="1" customWidth="1"/>
    <col min="8454" max="8454" width="11.42578125" style="877" customWidth="1"/>
    <col min="8455" max="8455" width="15.85546875" style="877" customWidth="1"/>
    <col min="8456" max="8456" width="17.140625" style="877" customWidth="1"/>
    <col min="8457" max="8457" width="15.85546875" style="877" customWidth="1"/>
    <col min="8458" max="8458" width="12.28515625" style="877" customWidth="1"/>
    <col min="8459" max="8459" width="15.28515625" style="877" customWidth="1"/>
    <col min="8460" max="8460" width="15.140625" style="877" customWidth="1"/>
    <col min="8461" max="8461" width="15" style="877" customWidth="1"/>
    <col min="8462" max="8462" width="12.140625" style="877" customWidth="1"/>
    <col min="8463" max="8463" width="26.42578125" style="877" customWidth="1"/>
    <col min="8464" max="8464" width="3.42578125" style="877" customWidth="1"/>
    <col min="8465" max="8704" width="8.85546875" style="877"/>
    <col min="8705" max="8705" width="3.5703125" style="877" customWidth="1"/>
    <col min="8706" max="8706" width="8" style="877" customWidth="1"/>
    <col min="8707" max="8707" width="58.5703125" style="877" customWidth="1"/>
    <col min="8708" max="8708" width="22.7109375" style="877" customWidth="1"/>
    <col min="8709" max="8709" width="0" style="877" hidden="1" customWidth="1"/>
    <col min="8710" max="8710" width="11.42578125" style="877" customWidth="1"/>
    <col min="8711" max="8711" width="15.85546875" style="877" customWidth="1"/>
    <col min="8712" max="8712" width="17.140625" style="877" customWidth="1"/>
    <col min="8713" max="8713" width="15.85546875" style="877" customWidth="1"/>
    <col min="8714" max="8714" width="12.28515625" style="877" customWidth="1"/>
    <col min="8715" max="8715" width="15.28515625" style="877" customWidth="1"/>
    <col min="8716" max="8716" width="15.140625" style="877" customWidth="1"/>
    <col min="8717" max="8717" width="15" style="877" customWidth="1"/>
    <col min="8718" max="8718" width="12.140625" style="877" customWidth="1"/>
    <col min="8719" max="8719" width="26.42578125" style="877" customWidth="1"/>
    <col min="8720" max="8720" width="3.42578125" style="877" customWidth="1"/>
    <col min="8721" max="8960" width="8.85546875" style="877"/>
    <col min="8961" max="8961" width="3.5703125" style="877" customWidth="1"/>
    <col min="8962" max="8962" width="8" style="877" customWidth="1"/>
    <col min="8963" max="8963" width="58.5703125" style="877" customWidth="1"/>
    <col min="8964" max="8964" width="22.7109375" style="877" customWidth="1"/>
    <col min="8965" max="8965" width="0" style="877" hidden="1" customWidth="1"/>
    <col min="8966" max="8966" width="11.42578125" style="877" customWidth="1"/>
    <col min="8967" max="8967" width="15.85546875" style="877" customWidth="1"/>
    <col min="8968" max="8968" width="17.140625" style="877" customWidth="1"/>
    <col min="8969" max="8969" width="15.85546875" style="877" customWidth="1"/>
    <col min="8970" max="8970" width="12.28515625" style="877" customWidth="1"/>
    <col min="8971" max="8971" width="15.28515625" style="877" customWidth="1"/>
    <col min="8972" max="8972" width="15.140625" style="877" customWidth="1"/>
    <col min="8973" max="8973" width="15" style="877" customWidth="1"/>
    <col min="8974" max="8974" width="12.140625" style="877" customWidth="1"/>
    <col min="8975" max="8975" width="26.42578125" style="877" customWidth="1"/>
    <col min="8976" max="8976" width="3.42578125" style="877" customWidth="1"/>
    <col min="8977" max="9216" width="8.85546875" style="877"/>
    <col min="9217" max="9217" width="3.5703125" style="877" customWidth="1"/>
    <col min="9218" max="9218" width="8" style="877" customWidth="1"/>
    <col min="9219" max="9219" width="58.5703125" style="877" customWidth="1"/>
    <col min="9220" max="9220" width="22.7109375" style="877" customWidth="1"/>
    <col min="9221" max="9221" width="0" style="877" hidden="1" customWidth="1"/>
    <col min="9222" max="9222" width="11.42578125" style="877" customWidth="1"/>
    <col min="9223" max="9223" width="15.85546875" style="877" customWidth="1"/>
    <col min="9224" max="9224" width="17.140625" style="877" customWidth="1"/>
    <col min="9225" max="9225" width="15.85546875" style="877" customWidth="1"/>
    <col min="9226" max="9226" width="12.28515625" style="877" customWidth="1"/>
    <col min="9227" max="9227" width="15.28515625" style="877" customWidth="1"/>
    <col min="9228" max="9228" width="15.140625" style="877" customWidth="1"/>
    <col min="9229" max="9229" width="15" style="877" customWidth="1"/>
    <col min="9230" max="9230" width="12.140625" style="877" customWidth="1"/>
    <col min="9231" max="9231" width="26.42578125" style="877" customWidth="1"/>
    <col min="9232" max="9232" width="3.42578125" style="877" customWidth="1"/>
    <col min="9233" max="9472" width="8.85546875" style="877"/>
    <col min="9473" max="9473" width="3.5703125" style="877" customWidth="1"/>
    <col min="9474" max="9474" width="8" style="877" customWidth="1"/>
    <col min="9475" max="9475" width="58.5703125" style="877" customWidth="1"/>
    <col min="9476" max="9476" width="22.7109375" style="877" customWidth="1"/>
    <col min="9477" max="9477" width="0" style="877" hidden="1" customWidth="1"/>
    <col min="9478" max="9478" width="11.42578125" style="877" customWidth="1"/>
    <col min="9479" max="9479" width="15.85546875" style="877" customWidth="1"/>
    <col min="9480" max="9480" width="17.140625" style="877" customWidth="1"/>
    <col min="9481" max="9481" width="15.85546875" style="877" customWidth="1"/>
    <col min="9482" max="9482" width="12.28515625" style="877" customWidth="1"/>
    <col min="9483" max="9483" width="15.28515625" style="877" customWidth="1"/>
    <col min="9484" max="9484" width="15.140625" style="877" customWidth="1"/>
    <col min="9485" max="9485" width="15" style="877" customWidth="1"/>
    <col min="9486" max="9486" width="12.140625" style="877" customWidth="1"/>
    <col min="9487" max="9487" width="26.42578125" style="877" customWidth="1"/>
    <col min="9488" max="9488" width="3.42578125" style="877" customWidth="1"/>
    <col min="9489" max="9728" width="8.85546875" style="877"/>
    <col min="9729" max="9729" width="3.5703125" style="877" customWidth="1"/>
    <col min="9730" max="9730" width="8" style="877" customWidth="1"/>
    <col min="9731" max="9731" width="58.5703125" style="877" customWidth="1"/>
    <col min="9732" max="9732" width="22.7109375" style="877" customWidth="1"/>
    <col min="9733" max="9733" width="0" style="877" hidden="1" customWidth="1"/>
    <col min="9734" max="9734" width="11.42578125" style="877" customWidth="1"/>
    <col min="9735" max="9735" width="15.85546875" style="877" customWidth="1"/>
    <col min="9736" max="9736" width="17.140625" style="877" customWidth="1"/>
    <col min="9737" max="9737" width="15.85546875" style="877" customWidth="1"/>
    <col min="9738" max="9738" width="12.28515625" style="877" customWidth="1"/>
    <col min="9739" max="9739" width="15.28515625" style="877" customWidth="1"/>
    <col min="9740" max="9740" width="15.140625" style="877" customWidth="1"/>
    <col min="9741" max="9741" width="15" style="877" customWidth="1"/>
    <col min="9742" max="9742" width="12.140625" style="877" customWidth="1"/>
    <col min="9743" max="9743" width="26.42578125" style="877" customWidth="1"/>
    <col min="9744" max="9744" width="3.42578125" style="877" customWidth="1"/>
    <col min="9745" max="9984" width="8.85546875" style="877"/>
    <col min="9985" max="9985" width="3.5703125" style="877" customWidth="1"/>
    <col min="9986" max="9986" width="8" style="877" customWidth="1"/>
    <col min="9987" max="9987" width="58.5703125" style="877" customWidth="1"/>
    <col min="9988" max="9988" width="22.7109375" style="877" customWidth="1"/>
    <col min="9989" max="9989" width="0" style="877" hidden="1" customWidth="1"/>
    <col min="9990" max="9990" width="11.42578125" style="877" customWidth="1"/>
    <col min="9991" max="9991" width="15.85546875" style="877" customWidth="1"/>
    <col min="9992" max="9992" width="17.140625" style="877" customWidth="1"/>
    <col min="9993" max="9993" width="15.85546875" style="877" customWidth="1"/>
    <col min="9994" max="9994" width="12.28515625" style="877" customWidth="1"/>
    <col min="9995" max="9995" width="15.28515625" style="877" customWidth="1"/>
    <col min="9996" max="9996" width="15.140625" style="877" customWidth="1"/>
    <col min="9997" max="9997" width="15" style="877" customWidth="1"/>
    <col min="9998" max="9998" width="12.140625" style="877" customWidth="1"/>
    <col min="9999" max="9999" width="26.42578125" style="877" customWidth="1"/>
    <col min="10000" max="10000" width="3.42578125" style="877" customWidth="1"/>
    <col min="10001" max="10240" width="8.85546875" style="877"/>
    <col min="10241" max="10241" width="3.5703125" style="877" customWidth="1"/>
    <col min="10242" max="10242" width="8" style="877" customWidth="1"/>
    <col min="10243" max="10243" width="58.5703125" style="877" customWidth="1"/>
    <col min="10244" max="10244" width="22.7109375" style="877" customWidth="1"/>
    <col min="10245" max="10245" width="0" style="877" hidden="1" customWidth="1"/>
    <col min="10246" max="10246" width="11.42578125" style="877" customWidth="1"/>
    <col min="10247" max="10247" width="15.85546875" style="877" customWidth="1"/>
    <col min="10248" max="10248" width="17.140625" style="877" customWidth="1"/>
    <col min="10249" max="10249" width="15.85546875" style="877" customWidth="1"/>
    <col min="10250" max="10250" width="12.28515625" style="877" customWidth="1"/>
    <col min="10251" max="10251" width="15.28515625" style="877" customWidth="1"/>
    <col min="10252" max="10252" width="15.140625" style="877" customWidth="1"/>
    <col min="10253" max="10253" width="15" style="877" customWidth="1"/>
    <col min="10254" max="10254" width="12.140625" style="877" customWidth="1"/>
    <col min="10255" max="10255" width="26.42578125" style="877" customWidth="1"/>
    <col min="10256" max="10256" width="3.42578125" style="877" customWidth="1"/>
    <col min="10257" max="10496" width="8.85546875" style="877"/>
    <col min="10497" max="10497" width="3.5703125" style="877" customWidth="1"/>
    <col min="10498" max="10498" width="8" style="877" customWidth="1"/>
    <col min="10499" max="10499" width="58.5703125" style="877" customWidth="1"/>
    <col min="10500" max="10500" width="22.7109375" style="877" customWidth="1"/>
    <col min="10501" max="10501" width="0" style="877" hidden="1" customWidth="1"/>
    <col min="10502" max="10502" width="11.42578125" style="877" customWidth="1"/>
    <col min="10503" max="10503" width="15.85546875" style="877" customWidth="1"/>
    <col min="10504" max="10504" width="17.140625" style="877" customWidth="1"/>
    <col min="10505" max="10505" width="15.85546875" style="877" customWidth="1"/>
    <col min="10506" max="10506" width="12.28515625" style="877" customWidth="1"/>
    <col min="10507" max="10507" width="15.28515625" style="877" customWidth="1"/>
    <col min="10508" max="10508" width="15.140625" style="877" customWidth="1"/>
    <col min="10509" max="10509" width="15" style="877" customWidth="1"/>
    <col min="10510" max="10510" width="12.140625" style="877" customWidth="1"/>
    <col min="10511" max="10511" width="26.42578125" style="877" customWidth="1"/>
    <col min="10512" max="10512" width="3.42578125" style="877" customWidth="1"/>
    <col min="10513" max="10752" width="8.85546875" style="877"/>
    <col min="10753" max="10753" width="3.5703125" style="877" customWidth="1"/>
    <col min="10754" max="10754" width="8" style="877" customWidth="1"/>
    <col min="10755" max="10755" width="58.5703125" style="877" customWidth="1"/>
    <col min="10756" max="10756" width="22.7109375" style="877" customWidth="1"/>
    <col min="10757" max="10757" width="0" style="877" hidden="1" customWidth="1"/>
    <col min="10758" max="10758" width="11.42578125" style="877" customWidth="1"/>
    <col min="10759" max="10759" width="15.85546875" style="877" customWidth="1"/>
    <col min="10760" max="10760" width="17.140625" style="877" customWidth="1"/>
    <col min="10761" max="10761" width="15.85546875" style="877" customWidth="1"/>
    <col min="10762" max="10762" width="12.28515625" style="877" customWidth="1"/>
    <col min="10763" max="10763" width="15.28515625" style="877" customWidth="1"/>
    <col min="10764" max="10764" width="15.140625" style="877" customWidth="1"/>
    <col min="10765" max="10765" width="15" style="877" customWidth="1"/>
    <col min="10766" max="10766" width="12.140625" style="877" customWidth="1"/>
    <col min="10767" max="10767" width="26.42578125" style="877" customWidth="1"/>
    <col min="10768" max="10768" width="3.42578125" style="877" customWidth="1"/>
    <col min="10769" max="11008" width="8.85546875" style="877"/>
    <col min="11009" max="11009" width="3.5703125" style="877" customWidth="1"/>
    <col min="11010" max="11010" width="8" style="877" customWidth="1"/>
    <col min="11011" max="11011" width="58.5703125" style="877" customWidth="1"/>
    <col min="11012" max="11012" width="22.7109375" style="877" customWidth="1"/>
    <col min="11013" max="11013" width="0" style="877" hidden="1" customWidth="1"/>
    <col min="11014" max="11014" width="11.42578125" style="877" customWidth="1"/>
    <col min="11015" max="11015" width="15.85546875" style="877" customWidth="1"/>
    <col min="11016" max="11016" width="17.140625" style="877" customWidth="1"/>
    <col min="11017" max="11017" width="15.85546875" style="877" customWidth="1"/>
    <col min="11018" max="11018" width="12.28515625" style="877" customWidth="1"/>
    <col min="11019" max="11019" width="15.28515625" style="877" customWidth="1"/>
    <col min="11020" max="11020" width="15.140625" style="877" customWidth="1"/>
    <col min="11021" max="11021" width="15" style="877" customWidth="1"/>
    <col min="11022" max="11022" width="12.140625" style="877" customWidth="1"/>
    <col min="11023" max="11023" width="26.42578125" style="877" customWidth="1"/>
    <col min="11024" max="11024" width="3.42578125" style="877" customWidth="1"/>
    <col min="11025" max="11264" width="8.85546875" style="877"/>
    <col min="11265" max="11265" width="3.5703125" style="877" customWidth="1"/>
    <col min="11266" max="11266" width="8" style="877" customWidth="1"/>
    <col min="11267" max="11267" width="58.5703125" style="877" customWidth="1"/>
    <col min="11268" max="11268" width="22.7109375" style="877" customWidth="1"/>
    <col min="11269" max="11269" width="0" style="877" hidden="1" customWidth="1"/>
    <col min="11270" max="11270" width="11.42578125" style="877" customWidth="1"/>
    <col min="11271" max="11271" width="15.85546875" style="877" customWidth="1"/>
    <col min="11272" max="11272" width="17.140625" style="877" customWidth="1"/>
    <col min="11273" max="11273" width="15.85546875" style="877" customWidth="1"/>
    <col min="11274" max="11274" width="12.28515625" style="877" customWidth="1"/>
    <col min="11275" max="11275" width="15.28515625" style="877" customWidth="1"/>
    <col min="11276" max="11276" width="15.140625" style="877" customWidth="1"/>
    <col min="11277" max="11277" width="15" style="877" customWidth="1"/>
    <col min="11278" max="11278" width="12.140625" style="877" customWidth="1"/>
    <col min="11279" max="11279" width="26.42578125" style="877" customWidth="1"/>
    <col min="11280" max="11280" width="3.42578125" style="877" customWidth="1"/>
    <col min="11281" max="11520" width="8.85546875" style="877"/>
    <col min="11521" max="11521" width="3.5703125" style="877" customWidth="1"/>
    <col min="11522" max="11522" width="8" style="877" customWidth="1"/>
    <col min="11523" max="11523" width="58.5703125" style="877" customWidth="1"/>
    <col min="11524" max="11524" width="22.7109375" style="877" customWidth="1"/>
    <col min="11525" max="11525" width="0" style="877" hidden="1" customWidth="1"/>
    <col min="11526" max="11526" width="11.42578125" style="877" customWidth="1"/>
    <col min="11527" max="11527" width="15.85546875" style="877" customWidth="1"/>
    <col min="11528" max="11528" width="17.140625" style="877" customWidth="1"/>
    <col min="11529" max="11529" width="15.85546875" style="877" customWidth="1"/>
    <col min="11530" max="11530" width="12.28515625" style="877" customWidth="1"/>
    <col min="11531" max="11531" width="15.28515625" style="877" customWidth="1"/>
    <col min="11532" max="11532" width="15.140625" style="877" customWidth="1"/>
    <col min="11533" max="11533" width="15" style="877" customWidth="1"/>
    <col min="11534" max="11534" width="12.140625" style="877" customWidth="1"/>
    <col min="11535" max="11535" width="26.42578125" style="877" customWidth="1"/>
    <col min="11536" max="11536" width="3.42578125" style="877" customWidth="1"/>
    <col min="11537" max="11776" width="8.85546875" style="877"/>
    <col min="11777" max="11777" width="3.5703125" style="877" customWidth="1"/>
    <col min="11778" max="11778" width="8" style="877" customWidth="1"/>
    <col min="11779" max="11779" width="58.5703125" style="877" customWidth="1"/>
    <col min="11780" max="11780" width="22.7109375" style="877" customWidth="1"/>
    <col min="11781" max="11781" width="0" style="877" hidden="1" customWidth="1"/>
    <col min="11782" max="11782" width="11.42578125" style="877" customWidth="1"/>
    <col min="11783" max="11783" width="15.85546875" style="877" customWidth="1"/>
    <col min="11784" max="11784" width="17.140625" style="877" customWidth="1"/>
    <col min="11785" max="11785" width="15.85546875" style="877" customWidth="1"/>
    <col min="11786" max="11786" width="12.28515625" style="877" customWidth="1"/>
    <col min="11787" max="11787" width="15.28515625" style="877" customWidth="1"/>
    <col min="11788" max="11788" width="15.140625" style="877" customWidth="1"/>
    <col min="11789" max="11789" width="15" style="877" customWidth="1"/>
    <col min="11790" max="11790" width="12.140625" style="877" customWidth="1"/>
    <col min="11791" max="11791" width="26.42578125" style="877" customWidth="1"/>
    <col min="11792" max="11792" width="3.42578125" style="877" customWidth="1"/>
    <col min="11793" max="12032" width="8.85546875" style="877"/>
    <col min="12033" max="12033" width="3.5703125" style="877" customWidth="1"/>
    <col min="12034" max="12034" width="8" style="877" customWidth="1"/>
    <col min="12035" max="12035" width="58.5703125" style="877" customWidth="1"/>
    <col min="12036" max="12036" width="22.7109375" style="877" customWidth="1"/>
    <col min="12037" max="12037" width="0" style="877" hidden="1" customWidth="1"/>
    <col min="12038" max="12038" width="11.42578125" style="877" customWidth="1"/>
    <col min="12039" max="12039" width="15.85546875" style="877" customWidth="1"/>
    <col min="12040" max="12040" width="17.140625" style="877" customWidth="1"/>
    <col min="12041" max="12041" width="15.85546875" style="877" customWidth="1"/>
    <col min="12042" max="12042" width="12.28515625" style="877" customWidth="1"/>
    <col min="12043" max="12043" width="15.28515625" style="877" customWidth="1"/>
    <col min="12044" max="12044" width="15.140625" style="877" customWidth="1"/>
    <col min="12045" max="12045" width="15" style="877" customWidth="1"/>
    <col min="12046" max="12046" width="12.140625" style="877" customWidth="1"/>
    <col min="12047" max="12047" width="26.42578125" style="877" customWidth="1"/>
    <col min="12048" max="12048" width="3.42578125" style="877" customWidth="1"/>
    <col min="12049" max="12288" width="8.85546875" style="877"/>
    <col min="12289" max="12289" width="3.5703125" style="877" customWidth="1"/>
    <col min="12290" max="12290" width="8" style="877" customWidth="1"/>
    <col min="12291" max="12291" width="58.5703125" style="877" customWidth="1"/>
    <col min="12292" max="12292" width="22.7109375" style="877" customWidth="1"/>
    <col min="12293" max="12293" width="0" style="877" hidden="1" customWidth="1"/>
    <col min="12294" max="12294" width="11.42578125" style="877" customWidth="1"/>
    <col min="12295" max="12295" width="15.85546875" style="877" customWidth="1"/>
    <col min="12296" max="12296" width="17.140625" style="877" customWidth="1"/>
    <col min="12297" max="12297" width="15.85546875" style="877" customWidth="1"/>
    <col min="12298" max="12298" width="12.28515625" style="877" customWidth="1"/>
    <col min="12299" max="12299" width="15.28515625" style="877" customWidth="1"/>
    <col min="12300" max="12300" width="15.140625" style="877" customWidth="1"/>
    <col min="12301" max="12301" width="15" style="877" customWidth="1"/>
    <col min="12302" max="12302" width="12.140625" style="877" customWidth="1"/>
    <col min="12303" max="12303" width="26.42578125" style="877" customWidth="1"/>
    <col min="12304" max="12304" width="3.42578125" style="877" customWidth="1"/>
    <col min="12305" max="12544" width="8.85546875" style="877"/>
    <col min="12545" max="12545" width="3.5703125" style="877" customWidth="1"/>
    <col min="12546" max="12546" width="8" style="877" customWidth="1"/>
    <col min="12547" max="12547" width="58.5703125" style="877" customWidth="1"/>
    <col min="12548" max="12548" width="22.7109375" style="877" customWidth="1"/>
    <col min="12549" max="12549" width="0" style="877" hidden="1" customWidth="1"/>
    <col min="12550" max="12550" width="11.42578125" style="877" customWidth="1"/>
    <col min="12551" max="12551" width="15.85546875" style="877" customWidth="1"/>
    <col min="12552" max="12552" width="17.140625" style="877" customWidth="1"/>
    <col min="12553" max="12553" width="15.85546875" style="877" customWidth="1"/>
    <col min="12554" max="12554" width="12.28515625" style="877" customWidth="1"/>
    <col min="12555" max="12555" width="15.28515625" style="877" customWidth="1"/>
    <col min="12556" max="12556" width="15.140625" style="877" customWidth="1"/>
    <col min="12557" max="12557" width="15" style="877" customWidth="1"/>
    <col min="12558" max="12558" width="12.140625" style="877" customWidth="1"/>
    <col min="12559" max="12559" width="26.42578125" style="877" customWidth="1"/>
    <col min="12560" max="12560" width="3.42578125" style="877" customWidth="1"/>
    <col min="12561" max="12800" width="8.85546875" style="877"/>
    <col min="12801" max="12801" width="3.5703125" style="877" customWidth="1"/>
    <col min="12802" max="12802" width="8" style="877" customWidth="1"/>
    <col min="12803" max="12803" width="58.5703125" style="877" customWidth="1"/>
    <col min="12804" max="12804" width="22.7109375" style="877" customWidth="1"/>
    <col min="12805" max="12805" width="0" style="877" hidden="1" customWidth="1"/>
    <col min="12806" max="12806" width="11.42578125" style="877" customWidth="1"/>
    <col min="12807" max="12807" width="15.85546875" style="877" customWidth="1"/>
    <col min="12808" max="12808" width="17.140625" style="877" customWidth="1"/>
    <col min="12809" max="12809" width="15.85546875" style="877" customWidth="1"/>
    <col min="12810" max="12810" width="12.28515625" style="877" customWidth="1"/>
    <col min="12811" max="12811" width="15.28515625" style="877" customWidth="1"/>
    <col min="12812" max="12812" width="15.140625" style="877" customWidth="1"/>
    <col min="12813" max="12813" width="15" style="877" customWidth="1"/>
    <col min="12814" max="12814" width="12.140625" style="877" customWidth="1"/>
    <col min="12815" max="12815" width="26.42578125" style="877" customWidth="1"/>
    <col min="12816" max="12816" width="3.42578125" style="877" customWidth="1"/>
    <col min="12817" max="13056" width="8.85546875" style="877"/>
    <col min="13057" max="13057" width="3.5703125" style="877" customWidth="1"/>
    <col min="13058" max="13058" width="8" style="877" customWidth="1"/>
    <col min="13059" max="13059" width="58.5703125" style="877" customWidth="1"/>
    <col min="13060" max="13060" width="22.7109375" style="877" customWidth="1"/>
    <col min="13061" max="13061" width="0" style="877" hidden="1" customWidth="1"/>
    <col min="13062" max="13062" width="11.42578125" style="877" customWidth="1"/>
    <col min="13063" max="13063" width="15.85546875" style="877" customWidth="1"/>
    <col min="13064" max="13064" width="17.140625" style="877" customWidth="1"/>
    <col min="13065" max="13065" width="15.85546875" style="877" customWidth="1"/>
    <col min="13066" max="13066" width="12.28515625" style="877" customWidth="1"/>
    <col min="13067" max="13067" width="15.28515625" style="877" customWidth="1"/>
    <col min="13068" max="13068" width="15.140625" style="877" customWidth="1"/>
    <col min="13069" max="13069" width="15" style="877" customWidth="1"/>
    <col min="13070" max="13070" width="12.140625" style="877" customWidth="1"/>
    <col min="13071" max="13071" width="26.42578125" style="877" customWidth="1"/>
    <col min="13072" max="13072" width="3.42578125" style="877" customWidth="1"/>
    <col min="13073" max="13312" width="8.85546875" style="877"/>
    <col min="13313" max="13313" width="3.5703125" style="877" customWidth="1"/>
    <col min="13314" max="13314" width="8" style="877" customWidth="1"/>
    <col min="13315" max="13315" width="58.5703125" style="877" customWidth="1"/>
    <col min="13316" max="13316" width="22.7109375" style="877" customWidth="1"/>
    <col min="13317" max="13317" width="0" style="877" hidden="1" customWidth="1"/>
    <col min="13318" max="13318" width="11.42578125" style="877" customWidth="1"/>
    <col min="13319" max="13319" width="15.85546875" style="877" customWidth="1"/>
    <col min="13320" max="13320" width="17.140625" style="877" customWidth="1"/>
    <col min="13321" max="13321" width="15.85546875" style="877" customWidth="1"/>
    <col min="13322" max="13322" width="12.28515625" style="877" customWidth="1"/>
    <col min="13323" max="13323" width="15.28515625" style="877" customWidth="1"/>
    <col min="13324" max="13324" width="15.140625" style="877" customWidth="1"/>
    <col min="13325" max="13325" width="15" style="877" customWidth="1"/>
    <col min="13326" max="13326" width="12.140625" style="877" customWidth="1"/>
    <col min="13327" max="13327" width="26.42578125" style="877" customWidth="1"/>
    <col min="13328" max="13328" width="3.42578125" style="877" customWidth="1"/>
    <col min="13329" max="13568" width="8.85546875" style="877"/>
    <col min="13569" max="13569" width="3.5703125" style="877" customWidth="1"/>
    <col min="13570" max="13570" width="8" style="877" customWidth="1"/>
    <col min="13571" max="13571" width="58.5703125" style="877" customWidth="1"/>
    <col min="13572" max="13572" width="22.7109375" style="877" customWidth="1"/>
    <col min="13573" max="13573" width="0" style="877" hidden="1" customWidth="1"/>
    <col min="13574" max="13574" width="11.42578125" style="877" customWidth="1"/>
    <col min="13575" max="13575" width="15.85546875" style="877" customWidth="1"/>
    <col min="13576" max="13576" width="17.140625" style="877" customWidth="1"/>
    <col min="13577" max="13577" width="15.85546875" style="877" customWidth="1"/>
    <col min="13578" max="13578" width="12.28515625" style="877" customWidth="1"/>
    <col min="13579" max="13579" width="15.28515625" style="877" customWidth="1"/>
    <col min="13580" max="13580" width="15.140625" style="877" customWidth="1"/>
    <col min="13581" max="13581" width="15" style="877" customWidth="1"/>
    <col min="13582" max="13582" width="12.140625" style="877" customWidth="1"/>
    <col min="13583" max="13583" width="26.42578125" style="877" customWidth="1"/>
    <col min="13584" max="13584" width="3.42578125" style="877" customWidth="1"/>
    <col min="13585" max="13824" width="8.85546875" style="877"/>
    <col min="13825" max="13825" width="3.5703125" style="877" customWidth="1"/>
    <col min="13826" max="13826" width="8" style="877" customWidth="1"/>
    <col min="13827" max="13827" width="58.5703125" style="877" customWidth="1"/>
    <col min="13828" max="13828" width="22.7109375" style="877" customWidth="1"/>
    <col min="13829" max="13829" width="0" style="877" hidden="1" customWidth="1"/>
    <col min="13830" max="13830" width="11.42578125" style="877" customWidth="1"/>
    <col min="13831" max="13831" width="15.85546875" style="877" customWidth="1"/>
    <col min="13832" max="13832" width="17.140625" style="877" customWidth="1"/>
    <col min="13833" max="13833" width="15.85546875" style="877" customWidth="1"/>
    <col min="13834" max="13834" width="12.28515625" style="877" customWidth="1"/>
    <col min="13835" max="13835" width="15.28515625" style="877" customWidth="1"/>
    <col min="13836" max="13836" width="15.140625" style="877" customWidth="1"/>
    <col min="13837" max="13837" width="15" style="877" customWidth="1"/>
    <col min="13838" max="13838" width="12.140625" style="877" customWidth="1"/>
    <col min="13839" max="13839" width="26.42578125" style="877" customWidth="1"/>
    <col min="13840" max="13840" width="3.42578125" style="877" customWidth="1"/>
    <col min="13841" max="14080" width="8.85546875" style="877"/>
    <col min="14081" max="14081" width="3.5703125" style="877" customWidth="1"/>
    <col min="14082" max="14082" width="8" style="877" customWidth="1"/>
    <col min="14083" max="14083" width="58.5703125" style="877" customWidth="1"/>
    <col min="14084" max="14084" width="22.7109375" style="877" customWidth="1"/>
    <col min="14085" max="14085" width="0" style="877" hidden="1" customWidth="1"/>
    <col min="14086" max="14086" width="11.42578125" style="877" customWidth="1"/>
    <col min="14087" max="14087" width="15.85546875" style="877" customWidth="1"/>
    <col min="14088" max="14088" width="17.140625" style="877" customWidth="1"/>
    <col min="14089" max="14089" width="15.85546875" style="877" customWidth="1"/>
    <col min="14090" max="14090" width="12.28515625" style="877" customWidth="1"/>
    <col min="14091" max="14091" width="15.28515625" style="877" customWidth="1"/>
    <col min="14092" max="14092" width="15.140625" style="877" customWidth="1"/>
    <col min="14093" max="14093" width="15" style="877" customWidth="1"/>
    <col min="14094" max="14094" width="12.140625" style="877" customWidth="1"/>
    <col min="14095" max="14095" width="26.42578125" style="877" customWidth="1"/>
    <col min="14096" max="14096" width="3.42578125" style="877" customWidth="1"/>
    <col min="14097" max="14336" width="8.85546875" style="877"/>
    <col min="14337" max="14337" width="3.5703125" style="877" customWidth="1"/>
    <col min="14338" max="14338" width="8" style="877" customWidth="1"/>
    <col min="14339" max="14339" width="58.5703125" style="877" customWidth="1"/>
    <col min="14340" max="14340" width="22.7109375" style="877" customWidth="1"/>
    <col min="14341" max="14341" width="0" style="877" hidden="1" customWidth="1"/>
    <col min="14342" max="14342" width="11.42578125" style="877" customWidth="1"/>
    <col min="14343" max="14343" width="15.85546875" style="877" customWidth="1"/>
    <col min="14344" max="14344" width="17.140625" style="877" customWidth="1"/>
    <col min="14345" max="14345" width="15.85546875" style="877" customWidth="1"/>
    <col min="14346" max="14346" width="12.28515625" style="877" customWidth="1"/>
    <col min="14347" max="14347" width="15.28515625" style="877" customWidth="1"/>
    <col min="14348" max="14348" width="15.140625" style="877" customWidth="1"/>
    <col min="14349" max="14349" width="15" style="877" customWidth="1"/>
    <col min="14350" max="14350" width="12.140625" style="877" customWidth="1"/>
    <col min="14351" max="14351" width="26.42578125" style="877" customWidth="1"/>
    <col min="14352" max="14352" width="3.42578125" style="877" customWidth="1"/>
    <col min="14353" max="14592" width="8.85546875" style="877"/>
    <col min="14593" max="14593" width="3.5703125" style="877" customWidth="1"/>
    <col min="14594" max="14594" width="8" style="877" customWidth="1"/>
    <col min="14595" max="14595" width="58.5703125" style="877" customWidth="1"/>
    <col min="14596" max="14596" width="22.7109375" style="877" customWidth="1"/>
    <col min="14597" max="14597" width="0" style="877" hidden="1" customWidth="1"/>
    <col min="14598" max="14598" width="11.42578125" style="877" customWidth="1"/>
    <col min="14599" max="14599" width="15.85546875" style="877" customWidth="1"/>
    <col min="14600" max="14600" width="17.140625" style="877" customWidth="1"/>
    <col min="14601" max="14601" width="15.85546875" style="877" customWidth="1"/>
    <col min="14602" max="14602" width="12.28515625" style="877" customWidth="1"/>
    <col min="14603" max="14603" width="15.28515625" style="877" customWidth="1"/>
    <col min="14604" max="14604" width="15.140625" style="877" customWidth="1"/>
    <col min="14605" max="14605" width="15" style="877" customWidth="1"/>
    <col min="14606" max="14606" width="12.140625" style="877" customWidth="1"/>
    <col min="14607" max="14607" width="26.42578125" style="877" customWidth="1"/>
    <col min="14608" max="14608" width="3.42578125" style="877" customWidth="1"/>
    <col min="14609" max="14848" width="8.85546875" style="877"/>
    <col min="14849" max="14849" width="3.5703125" style="877" customWidth="1"/>
    <col min="14850" max="14850" width="8" style="877" customWidth="1"/>
    <col min="14851" max="14851" width="58.5703125" style="877" customWidth="1"/>
    <col min="14852" max="14852" width="22.7109375" style="877" customWidth="1"/>
    <col min="14853" max="14853" width="0" style="877" hidden="1" customWidth="1"/>
    <col min="14854" max="14854" width="11.42578125" style="877" customWidth="1"/>
    <col min="14855" max="14855" width="15.85546875" style="877" customWidth="1"/>
    <col min="14856" max="14856" width="17.140625" style="877" customWidth="1"/>
    <col min="14857" max="14857" width="15.85546875" style="877" customWidth="1"/>
    <col min="14858" max="14858" width="12.28515625" style="877" customWidth="1"/>
    <col min="14859" max="14859" width="15.28515625" style="877" customWidth="1"/>
    <col min="14860" max="14860" width="15.140625" style="877" customWidth="1"/>
    <col min="14861" max="14861" width="15" style="877" customWidth="1"/>
    <col min="14862" max="14862" width="12.140625" style="877" customWidth="1"/>
    <col min="14863" max="14863" width="26.42578125" style="877" customWidth="1"/>
    <col min="14864" max="14864" width="3.42578125" style="877" customWidth="1"/>
    <col min="14865" max="15104" width="8.85546875" style="877"/>
    <col min="15105" max="15105" width="3.5703125" style="877" customWidth="1"/>
    <col min="15106" max="15106" width="8" style="877" customWidth="1"/>
    <col min="15107" max="15107" width="58.5703125" style="877" customWidth="1"/>
    <col min="15108" max="15108" width="22.7109375" style="877" customWidth="1"/>
    <col min="15109" max="15109" width="0" style="877" hidden="1" customWidth="1"/>
    <col min="15110" max="15110" width="11.42578125" style="877" customWidth="1"/>
    <col min="15111" max="15111" width="15.85546875" style="877" customWidth="1"/>
    <col min="15112" max="15112" width="17.140625" style="877" customWidth="1"/>
    <col min="15113" max="15113" width="15.85546875" style="877" customWidth="1"/>
    <col min="15114" max="15114" width="12.28515625" style="877" customWidth="1"/>
    <col min="15115" max="15115" width="15.28515625" style="877" customWidth="1"/>
    <col min="15116" max="15116" width="15.140625" style="877" customWidth="1"/>
    <col min="15117" max="15117" width="15" style="877" customWidth="1"/>
    <col min="15118" max="15118" width="12.140625" style="877" customWidth="1"/>
    <col min="15119" max="15119" width="26.42578125" style="877" customWidth="1"/>
    <col min="15120" max="15120" width="3.42578125" style="877" customWidth="1"/>
    <col min="15121" max="15360" width="8.85546875" style="877"/>
    <col min="15361" max="15361" width="3.5703125" style="877" customWidth="1"/>
    <col min="15362" max="15362" width="8" style="877" customWidth="1"/>
    <col min="15363" max="15363" width="58.5703125" style="877" customWidth="1"/>
    <col min="15364" max="15364" width="22.7109375" style="877" customWidth="1"/>
    <col min="15365" max="15365" width="0" style="877" hidden="1" customWidth="1"/>
    <col min="15366" max="15366" width="11.42578125" style="877" customWidth="1"/>
    <col min="15367" max="15367" width="15.85546875" style="877" customWidth="1"/>
    <col min="15368" max="15368" width="17.140625" style="877" customWidth="1"/>
    <col min="15369" max="15369" width="15.85546875" style="877" customWidth="1"/>
    <col min="15370" max="15370" width="12.28515625" style="877" customWidth="1"/>
    <col min="15371" max="15371" width="15.28515625" style="877" customWidth="1"/>
    <col min="15372" max="15372" width="15.140625" style="877" customWidth="1"/>
    <col min="15373" max="15373" width="15" style="877" customWidth="1"/>
    <col min="15374" max="15374" width="12.140625" style="877" customWidth="1"/>
    <col min="15375" max="15375" width="26.42578125" style="877" customWidth="1"/>
    <col min="15376" max="15376" width="3.42578125" style="877" customWidth="1"/>
    <col min="15377" max="15616" width="8.85546875" style="877"/>
    <col min="15617" max="15617" width="3.5703125" style="877" customWidth="1"/>
    <col min="15618" max="15618" width="8" style="877" customWidth="1"/>
    <col min="15619" max="15619" width="58.5703125" style="877" customWidth="1"/>
    <col min="15620" max="15620" width="22.7109375" style="877" customWidth="1"/>
    <col min="15621" max="15621" width="0" style="877" hidden="1" customWidth="1"/>
    <col min="15622" max="15622" width="11.42578125" style="877" customWidth="1"/>
    <col min="15623" max="15623" width="15.85546875" style="877" customWidth="1"/>
    <col min="15624" max="15624" width="17.140625" style="877" customWidth="1"/>
    <col min="15625" max="15625" width="15.85546875" style="877" customWidth="1"/>
    <col min="15626" max="15626" width="12.28515625" style="877" customWidth="1"/>
    <col min="15627" max="15627" width="15.28515625" style="877" customWidth="1"/>
    <col min="15628" max="15628" width="15.140625" style="877" customWidth="1"/>
    <col min="15629" max="15629" width="15" style="877" customWidth="1"/>
    <col min="15630" max="15630" width="12.140625" style="877" customWidth="1"/>
    <col min="15631" max="15631" width="26.42578125" style="877" customWidth="1"/>
    <col min="15632" max="15632" width="3.42578125" style="877" customWidth="1"/>
    <col min="15633" max="15872" width="8.85546875" style="877"/>
    <col min="15873" max="15873" width="3.5703125" style="877" customWidth="1"/>
    <col min="15874" max="15874" width="8" style="877" customWidth="1"/>
    <col min="15875" max="15875" width="58.5703125" style="877" customWidth="1"/>
    <col min="15876" max="15876" width="22.7109375" style="877" customWidth="1"/>
    <col min="15877" max="15877" width="0" style="877" hidden="1" customWidth="1"/>
    <col min="15878" max="15878" width="11.42578125" style="877" customWidth="1"/>
    <col min="15879" max="15879" width="15.85546875" style="877" customWidth="1"/>
    <col min="15880" max="15880" width="17.140625" style="877" customWidth="1"/>
    <col min="15881" max="15881" width="15.85546875" style="877" customWidth="1"/>
    <col min="15882" max="15882" width="12.28515625" style="877" customWidth="1"/>
    <col min="15883" max="15883" width="15.28515625" style="877" customWidth="1"/>
    <col min="15884" max="15884" width="15.140625" style="877" customWidth="1"/>
    <col min="15885" max="15885" width="15" style="877" customWidth="1"/>
    <col min="15886" max="15886" width="12.140625" style="877" customWidth="1"/>
    <col min="15887" max="15887" width="26.42578125" style="877" customWidth="1"/>
    <col min="15888" max="15888" width="3.42578125" style="877" customWidth="1"/>
    <col min="15889" max="16128" width="8.85546875" style="877"/>
    <col min="16129" max="16129" width="3.5703125" style="877" customWidth="1"/>
    <col min="16130" max="16130" width="8" style="877" customWidth="1"/>
    <col min="16131" max="16131" width="58.5703125" style="877" customWidth="1"/>
    <col min="16132" max="16132" width="22.7109375" style="877" customWidth="1"/>
    <col min="16133" max="16133" width="0" style="877" hidden="1" customWidth="1"/>
    <col min="16134" max="16134" width="11.42578125" style="877" customWidth="1"/>
    <col min="16135" max="16135" width="15.85546875" style="877" customWidth="1"/>
    <col min="16136" max="16136" width="17.140625" style="877" customWidth="1"/>
    <col min="16137" max="16137" width="15.85546875" style="877" customWidth="1"/>
    <col min="16138" max="16138" width="12.28515625" style="877" customWidth="1"/>
    <col min="16139" max="16139" width="15.28515625" style="877" customWidth="1"/>
    <col min="16140" max="16140" width="15.140625" style="877" customWidth="1"/>
    <col min="16141" max="16141" width="15" style="877" customWidth="1"/>
    <col min="16142" max="16142" width="12.140625" style="877" customWidth="1"/>
    <col min="16143" max="16143" width="26.42578125" style="877" customWidth="1"/>
    <col min="16144" max="16144" width="3.42578125" style="877" customWidth="1"/>
    <col min="16145" max="16384" width="8.85546875" style="877"/>
  </cols>
  <sheetData>
    <row r="1" spans="1:16" ht="18" customHeight="1" x14ac:dyDescent="0.25">
      <c r="A1" s="876"/>
      <c r="B1" s="1364"/>
      <c r="C1" s="1364"/>
      <c r="D1" s="1364"/>
      <c r="E1" s="1364"/>
      <c r="F1" s="1364"/>
      <c r="G1" s="1364"/>
      <c r="H1" s="1364"/>
      <c r="I1" s="1364"/>
      <c r="J1" s="1364"/>
      <c r="K1" s="1364"/>
      <c r="L1" s="1364"/>
      <c r="M1" s="1364"/>
      <c r="N1" s="1364"/>
      <c r="O1" s="1364"/>
      <c r="P1" s="876"/>
    </row>
    <row r="2" spans="1:16" ht="52.5" customHeight="1" x14ac:dyDescent="0.25">
      <c r="A2" s="876"/>
      <c r="B2" s="1365" t="s">
        <v>4042</v>
      </c>
      <c r="C2" s="1365"/>
      <c r="D2" s="1365"/>
      <c r="E2" s="1365"/>
      <c r="F2" s="1365"/>
      <c r="G2" s="1365"/>
      <c r="H2" s="1365"/>
      <c r="I2" s="1365"/>
      <c r="J2" s="1365"/>
      <c r="K2" s="1365"/>
      <c r="L2" s="1365"/>
      <c r="M2" s="1365"/>
      <c r="N2" s="1365"/>
      <c r="O2" s="1365"/>
      <c r="P2" s="876"/>
    </row>
    <row r="3" spans="1:16" s="879" customFormat="1" ht="36" customHeight="1" x14ac:dyDescent="0.25">
      <c r="A3" s="878"/>
      <c r="B3" s="1366" t="s">
        <v>4043</v>
      </c>
      <c r="C3" s="1366"/>
      <c r="D3" s="1366"/>
      <c r="E3" s="1366"/>
      <c r="F3" s="1366"/>
      <c r="G3" s="1366"/>
      <c r="H3" s="1366"/>
      <c r="I3" s="1366"/>
      <c r="J3" s="1366"/>
      <c r="K3" s="1366"/>
      <c r="L3" s="1366"/>
      <c r="M3" s="1366"/>
      <c r="N3" s="1366"/>
      <c r="O3" s="1366"/>
      <c r="P3" s="878"/>
    </row>
    <row r="4" spans="1:16" ht="36" customHeight="1" x14ac:dyDescent="0.25">
      <c r="A4" s="876"/>
      <c r="B4" s="1366" t="s">
        <v>4514</v>
      </c>
      <c r="C4" s="1366"/>
      <c r="D4" s="1366"/>
      <c r="E4" s="1366"/>
      <c r="F4" s="1366"/>
      <c r="G4" s="1366"/>
      <c r="H4" s="1366"/>
      <c r="I4" s="1366"/>
      <c r="J4" s="1366"/>
      <c r="K4" s="1366"/>
      <c r="L4" s="1366"/>
      <c r="M4" s="1366"/>
      <c r="N4" s="1366"/>
      <c r="O4" s="1366"/>
      <c r="P4" s="876"/>
    </row>
    <row r="5" spans="1:16" ht="14.25" customHeight="1" x14ac:dyDescent="0.25">
      <c r="A5" s="876"/>
      <c r="B5" s="880"/>
      <c r="C5" s="880"/>
      <c r="D5" s="1185"/>
      <c r="E5" s="880"/>
      <c r="F5" s="880"/>
      <c r="G5" s="880"/>
      <c r="H5" s="880"/>
      <c r="I5" s="880"/>
      <c r="J5" s="880"/>
      <c r="K5" s="880"/>
      <c r="L5" s="880"/>
      <c r="M5" s="880"/>
      <c r="N5" s="880"/>
      <c r="O5" s="880"/>
      <c r="P5" s="876"/>
    </row>
    <row r="6" spans="1:16" ht="29.25" customHeight="1" x14ac:dyDescent="0.25">
      <c r="A6" s="876"/>
      <c r="B6" s="1139" t="s">
        <v>4044</v>
      </c>
      <c r="C6" s="1139"/>
      <c r="D6" s="1140"/>
      <c r="E6" s="1141"/>
      <c r="F6" s="1142"/>
      <c r="G6" s="1114"/>
      <c r="H6" s="1114"/>
      <c r="I6" s="1114"/>
      <c r="J6" s="1114"/>
      <c r="K6" s="1114"/>
      <c r="L6" s="1114"/>
      <c r="M6" s="1114"/>
      <c r="N6" s="1114"/>
      <c r="O6" s="1114"/>
      <c r="P6" s="876"/>
    </row>
    <row r="7" spans="1:16" ht="29.25" customHeight="1" x14ac:dyDescent="0.25">
      <c r="A7" s="876"/>
      <c r="B7" s="1367" t="s">
        <v>4525</v>
      </c>
      <c r="C7" s="1367"/>
      <c r="D7" s="1140"/>
      <c r="E7" s="1143"/>
      <c r="F7" s="1144"/>
      <c r="G7" s="1297"/>
      <c r="H7" s="1297"/>
      <c r="I7" s="1297"/>
      <c r="J7" s="1297"/>
      <c r="K7" s="1297"/>
      <c r="L7" s="1134"/>
      <c r="M7" s="1145" t="s">
        <v>4193</v>
      </c>
      <c r="N7" s="1114"/>
      <c r="O7" s="1146"/>
      <c r="P7" s="876"/>
    </row>
    <row r="8" spans="1:16" ht="14.25" customHeight="1" x14ac:dyDescent="0.25">
      <c r="A8" s="876"/>
      <c r="B8" s="1134"/>
      <c r="C8" s="1134"/>
      <c r="D8" s="1140"/>
      <c r="E8" s="1141"/>
      <c r="F8" s="1142"/>
      <c r="G8" s="1114"/>
      <c r="H8" s="1114"/>
      <c r="I8" s="1114"/>
      <c r="J8" s="1114"/>
      <c r="K8" s="1114"/>
      <c r="L8" s="1114"/>
      <c r="M8" s="1114"/>
      <c r="N8" s="1114"/>
      <c r="O8" s="1114"/>
      <c r="P8" s="876"/>
    </row>
    <row r="9" spans="1:16" ht="36" customHeight="1" x14ac:dyDescent="0.25">
      <c r="A9" s="876"/>
      <c r="B9" s="1370" t="s">
        <v>6</v>
      </c>
      <c r="C9" s="1362" t="s">
        <v>7</v>
      </c>
      <c r="D9" s="1373" t="s">
        <v>8</v>
      </c>
      <c r="E9" s="1374"/>
      <c r="F9" s="1375"/>
      <c r="G9" s="1361" t="s">
        <v>9</v>
      </c>
      <c r="H9" s="1361"/>
      <c r="I9" s="1361"/>
      <c r="J9" s="1361"/>
      <c r="K9" s="1361" t="s">
        <v>10</v>
      </c>
      <c r="L9" s="1361"/>
      <c r="M9" s="1361"/>
      <c r="N9" s="1361"/>
      <c r="O9" s="1362" t="s">
        <v>11</v>
      </c>
    </row>
    <row r="10" spans="1:16" ht="54.75" customHeight="1" thickBot="1" x14ac:dyDescent="0.3">
      <c r="A10" s="876"/>
      <c r="B10" s="1371"/>
      <c r="C10" s="1372"/>
      <c r="D10" s="1147" t="s">
        <v>4561</v>
      </c>
      <c r="E10" s="1148"/>
      <c r="F10" s="1149" t="s">
        <v>4194</v>
      </c>
      <c r="G10" s="1149" t="s">
        <v>14</v>
      </c>
      <c r="H10" s="1149" t="s">
        <v>4195</v>
      </c>
      <c r="I10" s="1149" t="s">
        <v>4196</v>
      </c>
      <c r="J10" s="1149" t="s">
        <v>4197</v>
      </c>
      <c r="K10" s="1149" t="s">
        <v>14</v>
      </c>
      <c r="L10" s="1149" t="s">
        <v>3995</v>
      </c>
      <c r="M10" s="1149" t="s">
        <v>3996</v>
      </c>
      <c r="N10" s="1149" t="s">
        <v>3997</v>
      </c>
      <c r="O10" s="1363"/>
    </row>
    <row r="11" spans="1:16" ht="27.95" customHeight="1" thickTop="1" thickBot="1" x14ac:dyDescent="0.3">
      <c r="A11" s="876"/>
      <c r="B11" s="1150" t="s">
        <v>18</v>
      </c>
      <c r="C11" s="1150" t="s">
        <v>19</v>
      </c>
      <c r="D11" s="1186" t="s">
        <v>20</v>
      </c>
      <c r="E11" s="1151"/>
      <c r="F11" s="1152" t="s">
        <v>21</v>
      </c>
      <c r="G11" s="1153" t="s">
        <v>22</v>
      </c>
      <c r="H11" s="1153" t="s">
        <v>23</v>
      </c>
      <c r="I11" s="1153" t="s">
        <v>24</v>
      </c>
      <c r="J11" s="1153" t="s">
        <v>25</v>
      </c>
      <c r="K11" s="1153" t="s">
        <v>26</v>
      </c>
      <c r="L11" s="1153" t="s">
        <v>27</v>
      </c>
      <c r="M11" s="1153" t="s">
        <v>28</v>
      </c>
      <c r="N11" s="1153" t="s">
        <v>79</v>
      </c>
      <c r="O11" s="1153" t="s">
        <v>3998</v>
      </c>
    </row>
    <row r="12" spans="1:16" ht="27.95" customHeight="1" thickTop="1" x14ac:dyDescent="0.25">
      <c r="A12" s="876"/>
      <c r="B12" s="1154"/>
      <c r="C12" s="1155"/>
      <c r="D12" s="1187"/>
      <c r="E12" s="1156"/>
      <c r="F12" s="1157"/>
      <c r="G12" s="1158"/>
      <c r="H12" s="1158"/>
      <c r="I12" s="1158"/>
      <c r="J12" s="1158"/>
      <c r="K12" s="1158"/>
      <c r="L12" s="1158"/>
      <c r="M12" s="1158"/>
      <c r="N12" s="1158"/>
      <c r="O12" s="1158"/>
    </row>
    <row r="13" spans="1:16" s="882" customFormat="1" ht="27.95" customHeight="1" x14ac:dyDescent="0.25">
      <c r="A13" s="881"/>
      <c r="B13" s="1159" t="s">
        <v>80</v>
      </c>
      <c r="C13" s="1160" t="s">
        <v>81</v>
      </c>
      <c r="D13" s="1188">
        <f>+D14+D84+D119+D130+D145+D149</f>
        <v>2824446537000</v>
      </c>
      <c r="E13" s="1161">
        <v>2824446537000</v>
      </c>
      <c r="F13" s="1161">
        <f>D13/E13*100</f>
        <v>100</v>
      </c>
      <c r="G13" s="1162"/>
      <c r="H13" s="1162"/>
      <c r="I13" s="1163"/>
      <c r="J13" s="1163"/>
      <c r="K13" s="1163"/>
      <c r="L13" s="1163"/>
      <c r="M13" s="1163"/>
      <c r="N13" s="1163"/>
      <c r="O13" s="1163"/>
    </row>
    <row r="14" spans="1:16" s="154" customFormat="1" ht="27.95" customHeight="1" x14ac:dyDescent="0.25">
      <c r="A14" s="153"/>
      <c r="B14" s="1159"/>
      <c r="C14" s="1164" t="s">
        <v>3325</v>
      </c>
      <c r="D14" s="1189">
        <f>+D15+D24+D26+D28+D31+D33+D38+D46+D55+D67+D70</f>
        <v>1724446537000</v>
      </c>
      <c r="E14" s="1165">
        <v>2824446537000</v>
      </c>
      <c r="F14" s="1165">
        <f t="shared" ref="F14:F77" si="0">D14/E14*100</f>
        <v>61.054316816052378</v>
      </c>
      <c r="G14" s="1161"/>
      <c r="H14" s="1161"/>
      <c r="I14" s="1166"/>
      <c r="J14" s="1166"/>
      <c r="K14" s="1166"/>
      <c r="L14" s="1166"/>
      <c r="M14" s="1166"/>
      <c r="N14" s="1166"/>
      <c r="O14" s="1166"/>
    </row>
    <row r="15" spans="1:16" s="882" customFormat="1" ht="27.95" customHeight="1" x14ac:dyDescent="0.25">
      <c r="A15" s="881"/>
      <c r="B15" s="1159"/>
      <c r="C15" s="1167" t="s">
        <v>3207</v>
      </c>
      <c r="D15" s="1190">
        <v>484292816495</v>
      </c>
      <c r="E15" s="1161">
        <v>2824446537000</v>
      </c>
      <c r="F15" s="1161">
        <f t="shared" si="0"/>
        <v>17.146467817705414</v>
      </c>
      <c r="G15" s="1162"/>
      <c r="H15" s="1162"/>
      <c r="I15" s="1163"/>
      <c r="J15" s="1163"/>
      <c r="K15" s="1163"/>
      <c r="L15" s="1163"/>
      <c r="M15" s="1163"/>
      <c r="N15" s="1163"/>
      <c r="O15" s="1163"/>
    </row>
    <row r="16" spans="1:16" ht="27.95" customHeight="1" x14ac:dyDescent="0.25">
      <c r="A16" s="876"/>
      <c r="B16" s="1168"/>
      <c r="C16" s="1169" t="s">
        <v>4049</v>
      </c>
      <c r="D16" s="1191">
        <v>40000000000</v>
      </c>
      <c r="E16" s="1170">
        <v>2824446537000</v>
      </c>
      <c r="F16" s="1170">
        <f t="shared" si="0"/>
        <v>1.416206661234459</v>
      </c>
      <c r="G16" s="1171"/>
      <c r="H16" s="1171"/>
      <c r="I16" s="1172"/>
      <c r="J16" s="1172"/>
      <c r="K16" s="1172"/>
      <c r="L16" s="1172"/>
      <c r="M16" s="1172"/>
      <c r="N16" s="1172"/>
      <c r="O16" s="1172"/>
    </row>
    <row r="17" spans="1:15" ht="27.95" customHeight="1" x14ac:dyDescent="0.25">
      <c r="A17" s="876"/>
      <c r="B17" s="1168"/>
      <c r="C17" s="1169" t="s">
        <v>4198</v>
      </c>
      <c r="D17" s="1191">
        <v>20000000000</v>
      </c>
      <c r="E17" s="1170">
        <v>2824446537000</v>
      </c>
      <c r="F17" s="1170">
        <f t="shared" si="0"/>
        <v>0.70810333061722952</v>
      </c>
      <c r="G17" s="1171"/>
      <c r="H17" s="1171"/>
      <c r="I17" s="1172"/>
      <c r="J17" s="1172"/>
      <c r="K17" s="1172"/>
      <c r="L17" s="1172"/>
      <c r="M17" s="1172"/>
      <c r="N17" s="1172"/>
      <c r="O17" s="1172"/>
    </row>
    <row r="18" spans="1:15" ht="27.95" customHeight="1" x14ac:dyDescent="0.25">
      <c r="A18" s="876"/>
      <c r="B18" s="1168"/>
      <c r="C18" s="1169" t="s">
        <v>4052</v>
      </c>
      <c r="D18" s="1191">
        <v>21650000000</v>
      </c>
      <c r="E18" s="1170">
        <v>2824446537000</v>
      </c>
      <c r="F18" s="1170">
        <f t="shared" si="0"/>
        <v>0.76652185539315099</v>
      </c>
      <c r="G18" s="1171"/>
      <c r="H18" s="1171"/>
      <c r="I18" s="1172"/>
      <c r="J18" s="1172"/>
      <c r="K18" s="1172"/>
      <c r="L18" s="1172"/>
      <c r="M18" s="1172"/>
      <c r="N18" s="1172"/>
      <c r="O18" s="1172"/>
    </row>
    <row r="19" spans="1:15" ht="27.95" customHeight="1" x14ac:dyDescent="0.25">
      <c r="A19" s="876"/>
      <c r="B19" s="1168"/>
      <c r="C19" s="1169" t="s">
        <v>4199</v>
      </c>
      <c r="D19" s="1191">
        <v>40000000000</v>
      </c>
      <c r="E19" s="1170">
        <v>2824446537000</v>
      </c>
      <c r="F19" s="1170">
        <f t="shared" si="0"/>
        <v>1.416206661234459</v>
      </c>
      <c r="G19" s="1171"/>
      <c r="H19" s="1171"/>
      <c r="I19" s="1172"/>
      <c r="J19" s="1172"/>
      <c r="K19" s="1172"/>
      <c r="L19" s="1172"/>
      <c r="M19" s="1172"/>
      <c r="N19" s="1172"/>
      <c r="O19" s="1172"/>
    </row>
    <row r="20" spans="1:15" ht="27.95" customHeight="1" x14ac:dyDescent="0.25">
      <c r="A20" s="876"/>
      <c r="B20" s="1168"/>
      <c r="C20" s="1169" t="s">
        <v>4200</v>
      </c>
      <c r="D20" s="1191">
        <v>35000000000</v>
      </c>
      <c r="E20" s="1170">
        <v>2824446537000</v>
      </c>
      <c r="F20" s="1170">
        <f t="shared" si="0"/>
        <v>1.2391808285801518</v>
      </c>
      <c r="G20" s="1171"/>
      <c r="H20" s="1171"/>
      <c r="I20" s="1172"/>
      <c r="J20" s="1172"/>
      <c r="K20" s="1172"/>
      <c r="L20" s="1172"/>
      <c r="M20" s="1172"/>
      <c r="N20" s="1172"/>
      <c r="O20" s="1172"/>
    </row>
    <row r="21" spans="1:15" ht="27.95" customHeight="1" x14ac:dyDescent="0.25">
      <c r="A21" s="876"/>
      <c r="B21" s="1168"/>
      <c r="C21" s="1169" t="s">
        <v>4201</v>
      </c>
      <c r="D21" s="1191">
        <v>20000000000</v>
      </c>
      <c r="E21" s="1170">
        <v>2824446537000</v>
      </c>
      <c r="F21" s="1170">
        <f t="shared" si="0"/>
        <v>0.70810333061722952</v>
      </c>
      <c r="G21" s="1171"/>
      <c r="H21" s="1171"/>
      <c r="I21" s="1172"/>
      <c r="J21" s="1172"/>
      <c r="K21" s="1172"/>
      <c r="L21" s="1172"/>
      <c r="M21" s="1172"/>
      <c r="N21" s="1172"/>
      <c r="O21" s="1172"/>
    </row>
    <row r="22" spans="1:15" ht="27.95" customHeight="1" x14ac:dyDescent="0.25">
      <c r="A22" s="876"/>
      <c r="B22" s="1168"/>
      <c r="C22" s="1169" t="s">
        <v>4202</v>
      </c>
      <c r="D22" s="1191">
        <v>19957628000</v>
      </c>
      <c r="E22" s="1170">
        <v>2824446537000</v>
      </c>
      <c r="F22" s="1170">
        <f t="shared" si="0"/>
        <v>0.7066031429009838</v>
      </c>
      <c r="G22" s="1171"/>
      <c r="H22" s="1171"/>
      <c r="I22" s="1172"/>
      <c r="J22" s="1172"/>
      <c r="K22" s="1172"/>
      <c r="L22" s="1172"/>
      <c r="M22" s="1172"/>
      <c r="N22" s="1172"/>
      <c r="O22" s="1172"/>
    </row>
    <row r="23" spans="1:15" ht="27.95" customHeight="1" x14ac:dyDescent="0.25">
      <c r="A23" s="876"/>
      <c r="B23" s="1168"/>
      <c r="C23" s="1169" t="s">
        <v>4203</v>
      </c>
      <c r="D23" s="1191">
        <v>287685188495</v>
      </c>
      <c r="E23" s="1170">
        <v>2824446537000</v>
      </c>
      <c r="F23" s="1170">
        <f t="shared" si="0"/>
        <v>10.185542007127749</v>
      </c>
      <c r="G23" s="1171"/>
      <c r="H23" s="1171"/>
      <c r="I23" s="1172"/>
      <c r="J23" s="1172"/>
      <c r="K23" s="1172"/>
      <c r="L23" s="1172"/>
      <c r="M23" s="1172"/>
      <c r="N23" s="1172"/>
      <c r="O23" s="1172"/>
    </row>
    <row r="24" spans="1:15" s="882" customFormat="1" ht="36.75" customHeight="1" x14ac:dyDescent="0.25">
      <c r="A24" s="881"/>
      <c r="B24" s="1159"/>
      <c r="C24" s="1173" t="s">
        <v>4204</v>
      </c>
      <c r="D24" s="1190">
        <v>46367296000</v>
      </c>
      <c r="E24" s="1161">
        <v>2824446537000</v>
      </c>
      <c r="F24" s="1161">
        <f t="shared" si="0"/>
        <v>1.6416418364657472</v>
      </c>
      <c r="G24" s="1162"/>
      <c r="H24" s="1162"/>
      <c r="I24" s="1163"/>
      <c r="J24" s="1163"/>
      <c r="K24" s="1163"/>
      <c r="L24" s="1163"/>
      <c r="M24" s="1163"/>
      <c r="N24" s="1163"/>
      <c r="O24" s="1163"/>
    </row>
    <row r="25" spans="1:15" ht="27.95" customHeight="1" x14ac:dyDescent="0.25">
      <c r="A25" s="876"/>
      <c r="B25" s="1168"/>
      <c r="C25" s="1169" t="s">
        <v>4205</v>
      </c>
      <c r="D25" s="1191">
        <v>46367296000</v>
      </c>
      <c r="E25" s="1170">
        <v>2824446537000</v>
      </c>
      <c r="F25" s="1170">
        <f t="shared" si="0"/>
        <v>1.6416418364657472</v>
      </c>
      <c r="G25" s="1171"/>
      <c r="H25" s="1171"/>
      <c r="I25" s="1172"/>
      <c r="J25" s="1172"/>
      <c r="K25" s="1172"/>
      <c r="L25" s="1172"/>
      <c r="M25" s="1172"/>
      <c r="N25" s="1172"/>
      <c r="O25" s="1172"/>
    </row>
    <row r="26" spans="1:15" s="882" customFormat="1" ht="27.95" customHeight="1" x14ac:dyDescent="0.25">
      <c r="A26" s="881"/>
      <c r="B26" s="1159"/>
      <c r="C26" s="1167" t="s">
        <v>4206</v>
      </c>
      <c r="D26" s="1190">
        <v>40998900000</v>
      </c>
      <c r="E26" s="1161">
        <v>2824446537000</v>
      </c>
      <c r="F26" s="1161">
        <f t="shared" si="0"/>
        <v>1.4515728820821365</v>
      </c>
      <c r="G26" s="1162"/>
      <c r="H26" s="1162"/>
      <c r="I26" s="1163"/>
      <c r="J26" s="1163"/>
      <c r="K26" s="1163"/>
      <c r="L26" s="1163"/>
      <c r="M26" s="1163"/>
      <c r="N26" s="1163"/>
      <c r="O26" s="1163"/>
    </row>
    <row r="27" spans="1:15" ht="27.95" customHeight="1" x14ac:dyDescent="0.25">
      <c r="A27" s="876"/>
      <c r="B27" s="1168"/>
      <c r="C27" s="1169" t="s">
        <v>4207</v>
      </c>
      <c r="D27" s="1191">
        <v>40998900000</v>
      </c>
      <c r="E27" s="1170">
        <v>2824446537000</v>
      </c>
      <c r="F27" s="1170">
        <f t="shared" si="0"/>
        <v>1.4515728820821365</v>
      </c>
      <c r="G27" s="1171"/>
      <c r="H27" s="1171"/>
      <c r="I27" s="1172"/>
      <c r="J27" s="1172"/>
      <c r="K27" s="1172"/>
      <c r="L27" s="1172"/>
      <c r="M27" s="1172"/>
      <c r="N27" s="1172"/>
      <c r="O27" s="1172"/>
    </row>
    <row r="28" spans="1:15" s="882" customFormat="1" ht="37.5" customHeight="1" x14ac:dyDescent="0.25">
      <c r="A28" s="881"/>
      <c r="B28" s="1159"/>
      <c r="C28" s="1173" t="s">
        <v>4065</v>
      </c>
      <c r="D28" s="1190">
        <v>65071236000</v>
      </c>
      <c r="E28" s="1161">
        <v>2824446537000</v>
      </c>
      <c r="F28" s="1161">
        <f t="shared" si="0"/>
        <v>2.3038579469489884</v>
      </c>
      <c r="G28" s="1162"/>
      <c r="H28" s="1162"/>
      <c r="I28" s="1163"/>
      <c r="J28" s="1163"/>
      <c r="K28" s="1163"/>
      <c r="L28" s="1163"/>
      <c r="M28" s="1163"/>
      <c r="N28" s="1163"/>
      <c r="O28" s="1163"/>
    </row>
    <row r="29" spans="1:15" ht="27.95" customHeight="1" x14ac:dyDescent="0.25">
      <c r="A29" s="876"/>
      <c r="B29" s="1168"/>
      <c r="C29" s="1169" t="s">
        <v>4208</v>
      </c>
      <c r="D29" s="1191">
        <v>10000000000</v>
      </c>
      <c r="E29" s="1170">
        <v>2824446537000</v>
      </c>
      <c r="F29" s="1170">
        <f t="shared" si="0"/>
        <v>0.35405166530861476</v>
      </c>
      <c r="G29" s="1171"/>
      <c r="H29" s="1171"/>
      <c r="I29" s="1172"/>
      <c r="J29" s="1172"/>
      <c r="K29" s="1172"/>
      <c r="L29" s="1172"/>
      <c r="M29" s="1172"/>
      <c r="N29" s="1172"/>
      <c r="O29" s="1172"/>
    </row>
    <row r="30" spans="1:15" ht="27.95" customHeight="1" x14ac:dyDescent="0.25">
      <c r="A30" s="876"/>
      <c r="B30" s="1168"/>
      <c r="C30" s="1169" t="s">
        <v>4066</v>
      </c>
      <c r="D30" s="1191">
        <v>55071236000</v>
      </c>
      <c r="E30" s="1170">
        <v>2824446537000</v>
      </c>
      <c r="F30" s="1170">
        <f t="shared" si="0"/>
        <v>1.9498062816403736</v>
      </c>
      <c r="G30" s="1171"/>
      <c r="H30" s="1171"/>
      <c r="I30" s="1172"/>
      <c r="J30" s="1172"/>
      <c r="K30" s="1172"/>
      <c r="L30" s="1172"/>
      <c r="M30" s="1172"/>
      <c r="N30" s="1172"/>
      <c r="O30" s="1172"/>
    </row>
    <row r="31" spans="1:15" ht="27.95" customHeight="1" x14ac:dyDescent="0.25">
      <c r="A31" s="876"/>
      <c r="B31" s="1168"/>
      <c r="C31" s="1167" t="s">
        <v>4069</v>
      </c>
      <c r="D31" s="1190">
        <v>986320000</v>
      </c>
      <c r="E31" s="1170">
        <v>2824446537000</v>
      </c>
      <c r="F31" s="1170">
        <f t="shared" si="0"/>
        <v>3.4920823852719288E-2</v>
      </c>
      <c r="G31" s="1171"/>
      <c r="H31" s="1171"/>
      <c r="I31" s="1172"/>
      <c r="J31" s="1172"/>
      <c r="K31" s="1172"/>
      <c r="L31" s="1172"/>
      <c r="M31" s="1172"/>
      <c r="N31" s="1172"/>
      <c r="O31" s="1172"/>
    </row>
    <row r="32" spans="1:15" ht="27.95" customHeight="1" x14ac:dyDescent="0.25">
      <c r="A32" s="876"/>
      <c r="B32" s="1168"/>
      <c r="C32" s="1169" t="s">
        <v>4209</v>
      </c>
      <c r="D32" s="1191">
        <v>986320000</v>
      </c>
      <c r="E32" s="1170">
        <v>2824446537000</v>
      </c>
      <c r="F32" s="1170">
        <f t="shared" si="0"/>
        <v>3.4920823852719288E-2</v>
      </c>
      <c r="G32" s="1171"/>
      <c r="H32" s="1171"/>
      <c r="I32" s="1172"/>
      <c r="J32" s="1172"/>
      <c r="K32" s="1172"/>
      <c r="L32" s="1172"/>
      <c r="M32" s="1172"/>
      <c r="N32" s="1172"/>
      <c r="O32" s="1172"/>
    </row>
    <row r="33" spans="1:15" s="882" customFormat="1" ht="36.75" customHeight="1" x14ac:dyDescent="0.25">
      <c r="A33" s="881"/>
      <c r="B33" s="1159"/>
      <c r="C33" s="1173" t="s">
        <v>855</v>
      </c>
      <c r="D33" s="1190">
        <v>26365044000</v>
      </c>
      <c r="E33" s="1161">
        <v>2824446537000</v>
      </c>
      <c r="F33" s="1161">
        <f t="shared" si="0"/>
        <v>0.93345877341349026</v>
      </c>
      <c r="G33" s="1162"/>
      <c r="H33" s="1162"/>
      <c r="I33" s="1163"/>
      <c r="J33" s="1163"/>
      <c r="K33" s="1163"/>
      <c r="L33" s="1163"/>
      <c r="M33" s="1163"/>
      <c r="N33" s="1163"/>
      <c r="O33" s="1163"/>
    </row>
    <row r="34" spans="1:15" ht="27.95" customHeight="1" x14ac:dyDescent="0.25">
      <c r="A34" s="876"/>
      <c r="B34" s="1168"/>
      <c r="C34" s="1169" t="s">
        <v>4210</v>
      </c>
      <c r="D34" s="1191">
        <v>8263856000</v>
      </c>
      <c r="E34" s="1170">
        <v>2824446537000</v>
      </c>
      <c r="F34" s="1170">
        <f t="shared" si="0"/>
        <v>0.29258319786705878</v>
      </c>
      <c r="G34" s="1171"/>
      <c r="H34" s="1171"/>
      <c r="I34" s="1172"/>
      <c r="J34" s="1172"/>
      <c r="K34" s="1172"/>
      <c r="L34" s="1172"/>
      <c r="M34" s="1172"/>
      <c r="N34" s="1172"/>
      <c r="O34" s="1172"/>
    </row>
    <row r="35" spans="1:15" ht="27.95" customHeight="1" x14ac:dyDescent="0.25">
      <c r="A35" s="876"/>
      <c r="B35" s="1168"/>
      <c r="C35" s="1169" t="s">
        <v>4211</v>
      </c>
      <c r="D35" s="1191">
        <v>11819644000</v>
      </c>
      <c r="E35" s="1170">
        <v>2824446537000</v>
      </c>
      <c r="F35" s="1170">
        <f t="shared" si="0"/>
        <v>0.41847646415549766</v>
      </c>
      <c r="G35" s="1171"/>
      <c r="H35" s="1171"/>
      <c r="I35" s="1172"/>
      <c r="J35" s="1172"/>
      <c r="K35" s="1172"/>
      <c r="L35" s="1172"/>
      <c r="M35" s="1172"/>
      <c r="N35" s="1172"/>
      <c r="O35" s="1172"/>
    </row>
    <row r="36" spans="1:15" ht="27.95" customHeight="1" x14ac:dyDescent="0.25">
      <c r="A36" s="876"/>
      <c r="B36" s="1168"/>
      <c r="C36" s="1169" t="s">
        <v>4212</v>
      </c>
      <c r="D36" s="1191">
        <v>4288096000</v>
      </c>
      <c r="E36" s="1170">
        <v>2824446537000</v>
      </c>
      <c r="F36" s="1170">
        <f t="shared" si="0"/>
        <v>0.15182075298032097</v>
      </c>
      <c r="G36" s="1171"/>
      <c r="H36" s="1171"/>
      <c r="I36" s="1172"/>
      <c r="J36" s="1172"/>
      <c r="K36" s="1172"/>
      <c r="L36" s="1172"/>
      <c r="M36" s="1172"/>
      <c r="N36" s="1172"/>
      <c r="O36" s="1172"/>
    </row>
    <row r="37" spans="1:15" ht="27.95" customHeight="1" x14ac:dyDescent="0.25">
      <c r="A37" s="876"/>
      <c r="B37" s="1168"/>
      <c r="C37" s="1169" t="s">
        <v>4213</v>
      </c>
      <c r="D37" s="1191">
        <v>1993448000</v>
      </c>
      <c r="E37" s="1170">
        <v>2824446537000</v>
      </c>
      <c r="F37" s="1170">
        <f t="shared" si="0"/>
        <v>7.0578358410612746E-2</v>
      </c>
      <c r="G37" s="1171"/>
      <c r="H37" s="1171"/>
      <c r="I37" s="1172"/>
      <c r="J37" s="1172"/>
      <c r="K37" s="1172"/>
      <c r="L37" s="1172"/>
      <c r="M37" s="1172"/>
      <c r="N37" s="1172"/>
      <c r="O37" s="1172"/>
    </row>
    <row r="38" spans="1:15" s="882" customFormat="1" ht="27.95" customHeight="1" x14ac:dyDescent="0.25">
      <c r="A38" s="881"/>
      <c r="B38" s="1159"/>
      <c r="C38" s="1167" t="s">
        <v>4080</v>
      </c>
      <c r="D38" s="1190">
        <v>97126932000</v>
      </c>
      <c r="E38" s="1161">
        <v>2824446537000</v>
      </c>
      <c r="F38" s="1161">
        <f t="shared" si="0"/>
        <v>3.4387952020916588</v>
      </c>
      <c r="G38" s="1162"/>
      <c r="H38" s="1162"/>
      <c r="I38" s="1163"/>
      <c r="J38" s="1163"/>
      <c r="K38" s="1163"/>
      <c r="L38" s="1163"/>
      <c r="M38" s="1163"/>
      <c r="N38" s="1163"/>
      <c r="O38" s="1163"/>
    </row>
    <row r="39" spans="1:15" ht="27.95" customHeight="1" x14ac:dyDescent="0.25">
      <c r="A39" s="876"/>
      <c r="B39" s="1168"/>
      <c r="C39" s="1169" t="s">
        <v>4214</v>
      </c>
      <c r="D39" s="1191">
        <v>13454928000</v>
      </c>
      <c r="E39" s="1170">
        <v>2824446537000</v>
      </c>
      <c r="F39" s="1170">
        <f t="shared" si="0"/>
        <v>0.47637396650075092</v>
      </c>
      <c r="G39" s="1171"/>
      <c r="H39" s="1171"/>
      <c r="I39" s="1172"/>
      <c r="J39" s="1172"/>
      <c r="K39" s="1172"/>
      <c r="L39" s="1172"/>
      <c r="M39" s="1172"/>
      <c r="N39" s="1172"/>
      <c r="O39" s="1172"/>
    </row>
    <row r="40" spans="1:15" ht="27.95" customHeight="1" x14ac:dyDescent="0.25">
      <c r="A40" s="876"/>
      <c r="B40" s="1168"/>
      <c r="C40" s="1169" t="s">
        <v>4215</v>
      </c>
      <c r="D40" s="1191">
        <v>999320000</v>
      </c>
      <c r="E40" s="1170">
        <v>2824446537000</v>
      </c>
      <c r="F40" s="1170">
        <f t="shared" si="0"/>
        <v>3.5381091017620492E-2</v>
      </c>
      <c r="G40" s="1171"/>
      <c r="H40" s="1171"/>
      <c r="I40" s="1172"/>
      <c r="J40" s="1172"/>
      <c r="K40" s="1172"/>
      <c r="L40" s="1172"/>
      <c r="M40" s="1172"/>
      <c r="N40" s="1172"/>
      <c r="O40" s="1172"/>
    </row>
    <row r="41" spans="1:15" ht="27.95" customHeight="1" x14ac:dyDescent="0.25">
      <c r="A41" s="876"/>
      <c r="B41" s="1168"/>
      <c r="C41" s="1169" t="s">
        <v>4085</v>
      </c>
      <c r="D41" s="1191">
        <v>58672684000</v>
      </c>
      <c r="E41" s="1170">
        <v>2824446537000</v>
      </c>
      <c r="F41" s="1170">
        <f t="shared" si="0"/>
        <v>2.0773161478326116</v>
      </c>
      <c r="G41" s="1171"/>
      <c r="H41" s="1171"/>
      <c r="I41" s="1172"/>
      <c r="J41" s="1172"/>
      <c r="K41" s="1172"/>
      <c r="L41" s="1172"/>
      <c r="M41" s="1172"/>
      <c r="N41" s="1172"/>
      <c r="O41" s="1172"/>
    </row>
    <row r="42" spans="1:15" ht="27.95" customHeight="1" x14ac:dyDescent="0.25">
      <c r="A42" s="876"/>
      <c r="B42" s="1168"/>
      <c r="C42" s="1169" t="s">
        <v>4216</v>
      </c>
      <c r="D42" s="1191">
        <v>10000000000</v>
      </c>
      <c r="E42" s="1170">
        <v>2824446537000</v>
      </c>
      <c r="F42" s="1170">
        <f t="shared" si="0"/>
        <v>0.35405166530861476</v>
      </c>
      <c r="G42" s="1171"/>
      <c r="H42" s="1171"/>
      <c r="I42" s="1172"/>
      <c r="J42" s="1172"/>
      <c r="K42" s="1172"/>
      <c r="L42" s="1172"/>
      <c r="M42" s="1172"/>
      <c r="N42" s="1172"/>
      <c r="O42" s="1172"/>
    </row>
    <row r="43" spans="1:15" ht="27.95" customHeight="1" x14ac:dyDescent="0.25">
      <c r="A43" s="876"/>
      <c r="B43" s="1168"/>
      <c r="C43" s="1169" t="s">
        <v>4217</v>
      </c>
      <c r="D43" s="1191">
        <v>5000000000</v>
      </c>
      <c r="E43" s="1170">
        <v>2824446537000</v>
      </c>
      <c r="F43" s="1170">
        <f t="shared" si="0"/>
        <v>0.17702583265430738</v>
      </c>
      <c r="G43" s="1171"/>
      <c r="H43" s="1171"/>
      <c r="I43" s="1172"/>
      <c r="J43" s="1172"/>
      <c r="K43" s="1172"/>
      <c r="L43" s="1172"/>
      <c r="M43" s="1172"/>
      <c r="N43" s="1172"/>
      <c r="O43" s="1172"/>
    </row>
    <row r="44" spans="1:15" ht="27.95" customHeight="1" x14ac:dyDescent="0.25">
      <c r="A44" s="876"/>
      <c r="B44" s="1168"/>
      <c r="C44" s="1169" t="s">
        <v>4218</v>
      </c>
      <c r="D44" s="1191">
        <v>1000000000</v>
      </c>
      <c r="E44" s="1170">
        <v>2824446537000</v>
      </c>
      <c r="F44" s="1170">
        <f t="shared" si="0"/>
        <v>3.5405166530861475E-2</v>
      </c>
      <c r="G44" s="1171"/>
      <c r="H44" s="1171"/>
      <c r="I44" s="1172"/>
      <c r="J44" s="1172"/>
      <c r="K44" s="1172"/>
      <c r="L44" s="1172"/>
      <c r="M44" s="1172"/>
      <c r="N44" s="1172"/>
      <c r="O44" s="1172"/>
    </row>
    <row r="45" spans="1:15" ht="34.5" customHeight="1" x14ac:dyDescent="0.25">
      <c r="A45" s="876"/>
      <c r="B45" s="1168"/>
      <c r="C45" s="1174" t="s">
        <v>4219</v>
      </c>
      <c r="D45" s="1191">
        <v>8000000000</v>
      </c>
      <c r="E45" s="1170">
        <v>2824446537000</v>
      </c>
      <c r="F45" s="1170">
        <f t="shared" si="0"/>
        <v>0.2832413322468918</v>
      </c>
      <c r="G45" s="1171"/>
      <c r="H45" s="1171"/>
      <c r="I45" s="1172"/>
      <c r="J45" s="1172"/>
      <c r="K45" s="1172"/>
      <c r="L45" s="1172"/>
      <c r="M45" s="1172"/>
      <c r="N45" s="1172"/>
      <c r="O45" s="1172"/>
    </row>
    <row r="46" spans="1:15" s="882" customFormat="1" ht="36.75" customHeight="1" x14ac:dyDescent="0.25">
      <c r="A46" s="881"/>
      <c r="B46" s="1159"/>
      <c r="C46" s="1173" t="s">
        <v>4086</v>
      </c>
      <c r="D46" s="1190">
        <v>307353992505</v>
      </c>
      <c r="E46" s="1161">
        <v>2824446537000</v>
      </c>
      <c r="F46" s="1161">
        <f t="shared" si="0"/>
        <v>10.881919288564674</v>
      </c>
      <c r="G46" s="1162"/>
      <c r="H46" s="1162"/>
      <c r="I46" s="1163"/>
      <c r="J46" s="1163"/>
      <c r="K46" s="1163"/>
      <c r="L46" s="1163"/>
      <c r="M46" s="1163"/>
      <c r="N46" s="1163"/>
      <c r="O46" s="1163"/>
    </row>
    <row r="47" spans="1:15" ht="27.95" customHeight="1" x14ac:dyDescent="0.25">
      <c r="A47" s="876"/>
      <c r="B47" s="1168"/>
      <c r="C47" s="1169" t="s">
        <v>4220</v>
      </c>
      <c r="D47" s="1191">
        <v>10000000000</v>
      </c>
      <c r="E47" s="1170">
        <v>2824446537000</v>
      </c>
      <c r="F47" s="1170">
        <f t="shared" si="0"/>
        <v>0.35405166530861476</v>
      </c>
      <c r="G47" s="1171"/>
      <c r="H47" s="1171"/>
      <c r="I47" s="1172"/>
      <c r="J47" s="1172"/>
      <c r="K47" s="1172"/>
      <c r="L47" s="1172"/>
      <c r="M47" s="1172"/>
      <c r="N47" s="1172"/>
      <c r="O47" s="1172"/>
    </row>
    <row r="48" spans="1:15" ht="27.95" customHeight="1" x14ac:dyDescent="0.25">
      <c r="A48" s="876"/>
      <c r="B48" s="1168"/>
      <c r="C48" s="1169" t="s">
        <v>4221</v>
      </c>
      <c r="D48" s="1191">
        <v>80197772000</v>
      </c>
      <c r="E48" s="1170">
        <v>2824446537000</v>
      </c>
      <c r="F48" s="1170">
        <f t="shared" si="0"/>
        <v>2.8394154730640597</v>
      </c>
      <c r="G48" s="1171"/>
      <c r="H48" s="1171"/>
      <c r="I48" s="1172"/>
      <c r="J48" s="1172"/>
      <c r="K48" s="1172"/>
      <c r="L48" s="1172"/>
      <c r="M48" s="1172"/>
      <c r="N48" s="1172"/>
      <c r="O48" s="1172"/>
    </row>
    <row r="49" spans="1:15" ht="27.95" customHeight="1" x14ac:dyDescent="0.25">
      <c r="A49" s="876"/>
      <c r="B49" s="1168"/>
      <c r="C49" s="1169" t="s">
        <v>4222</v>
      </c>
      <c r="D49" s="1191">
        <v>8448604000</v>
      </c>
      <c r="E49" s="1170">
        <v>2824446537000</v>
      </c>
      <c r="F49" s="1170">
        <f t="shared" si="0"/>
        <v>0.29912423157330237</v>
      </c>
      <c r="G49" s="1171"/>
      <c r="H49" s="1171"/>
      <c r="I49" s="1172"/>
      <c r="J49" s="1172"/>
      <c r="K49" s="1172"/>
      <c r="L49" s="1172"/>
      <c r="M49" s="1172"/>
      <c r="N49" s="1172"/>
      <c r="O49" s="1172"/>
    </row>
    <row r="50" spans="1:15" ht="27.95" customHeight="1" x14ac:dyDescent="0.25">
      <c r="A50" s="876"/>
      <c r="B50" s="1168"/>
      <c r="C50" s="1169" t="s">
        <v>4223</v>
      </c>
      <c r="D50" s="1191">
        <v>4000000000</v>
      </c>
      <c r="E50" s="1170">
        <v>2824446537000</v>
      </c>
      <c r="F50" s="1170">
        <f t="shared" si="0"/>
        <v>0.1416206661234459</v>
      </c>
      <c r="G50" s="1171"/>
      <c r="H50" s="1171"/>
      <c r="I50" s="1172"/>
      <c r="J50" s="1172"/>
      <c r="K50" s="1172"/>
      <c r="L50" s="1172"/>
      <c r="M50" s="1172"/>
      <c r="N50" s="1172"/>
      <c r="O50" s="1172"/>
    </row>
    <row r="51" spans="1:15" ht="27.95" customHeight="1" x14ac:dyDescent="0.25">
      <c r="A51" s="876"/>
      <c r="B51" s="1168"/>
      <c r="C51" s="1169" t="s">
        <v>4224</v>
      </c>
      <c r="D51" s="1191">
        <v>44852296000</v>
      </c>
      <c r="E51" s="1170">
        <v>2824446537000</v>
      </c>
      <c r="F51" s="1170">
        <f t="shared" si="0"/>
        <v>1.5880030091714921</v>
      </c>
      <c r="G51" s="1171"/>
      <c r="H51" s="1171"/>
      <c r="I51" s="1172"/>
      <c r="J51" s="1172"/>
      <c r="K51" s="1172"/>
      <c r="L51" s="1172"/>
      <c r="M51" s="1172"/>
      <c r="N51" s="1172"/>
      <c r="O51" s="1172"/>
    </row>
    <row r="52" spans="1:15" ht="27.95" customHeight="1" x14ac:dyDescent="0.25">
      <c r="A52" s="876"/>
      <c r="B52" s="1168"/>
      <c r="C52" s="1169" t="s">
        <v>4225</v>
      </c>
      <c r="D52" s="1191">
        <v>48718452000</v>
      </c>
      <c r="E52" s="1170">
        <v>2824446537000</v>
      </c>
      <c r="F52" s="1170">
        <f t="shared" si="0"/>
        <v>1.7248849061857814</v>
      </c>
      <c r="G52" s="1171"/>
      <c r="H52" s="1171"/>
      <c r="I52" s="1172"/>
      <c r="J52" s="1172"/>
      <c r="K52" s="1172"/>
      <c r="L52" s="1172"/>
      <c r="M52" s="1172"/>
      <c r="N52" s="1172"/>
      <c r="O52" s="1172"/>
    </row>
    <row r="53" spans="1:15" ht="27.95" customHeight="1" x14ac:dyDescent="0.25">
      <c r="A53" s="876"/>
      <c r="B53" s="1168"/>
      <c r="C53" s="1169" t="s">
        <v>4226</v>
      </c>
      <c r="D53" s="1191">
        <v>25000000000</v>
      </c>
      <c r="E53" s="1170">
        <v>2824446537000</v>
      </c>
      <c r="F53" s="1170">
        <f t="shared" si="0"/>
        <v>0.8851291632715369</v>
      </c>
      <c r="G53" s="1171"/>
      <c r="H53" s="1171"/>
      <c r="I53" s="1172"/>
      <c r="J53" s="1172"/>
      <c r="K53" s="1172"/>
      <c r="L53" s="1172"/>
      <c r="M53" s="1172"/>
      <c r="N53" s="1172"/>
      <c r="O53" s="1172"/>
    </row>
    <row r="54" spans="1:15" ht="27.95" customHeight="1" x14ac:dyDescent="0.25">
      <c r="A54" s="876"/>
      <c r="B54" s="1168"/>
      <c r="C54" s="1169" t="s">
        <v>4227</v>
      </c>
      <c r="D54" s="1191">
        <v>86136868505</v>
      </c>
      <c r="E54" s="1170">
        <v>2824446537000</v>
      </c>
      <c r="F54" s="1170">
        <f t="shared" si="0"/>
        <v>3.0496901738664421</v>
      </c>
      <c r="G54" s="1171"/>
      <c r="H54" s="1171"/>
      <c r="I54" s="1172"/>
      <c r="J54" s="1172"/>
      <c r="K54" s="1172"/>
      <c r="L54" s="1172"/>
      <c r="M54" s="1172"/>
      <c r="N54" s="1172"/>
      <c r="O54" s="1172"/>
    </row>
    <row r="55" spans="1:15" s="882" customFormat="1" ht="27.95" customHeight="1" x14ac:dyDescent="0.25">
      <c r="A55" s="881"/>
      <c r="B55" s="1159"/>
      <c r="C55" s="1167" t="s">
        <v>4089</v>
      </c>
      <c r="D55" s="1190">
        <v>567036200000</v>
      </c>
      <c r="E55" s="1161">
        <v>2824446537000</v>
      </c>
      <c r="F55" s="1161">
        <f t="shared" si="0"/>
        <v>20.076011090026874</v>
      </c>
      <c r="G55" s="1162"/>
      <c r="H55" s="1162"/>
      <c r="I55" s="1163"/>
      <c r="J55" s="1163"/>
      <c r="K55" s="1163"/>
      <c r="L55" s="1163"/>
      <c r="M55" s="1163"/>
      <c r="N55" s="1163"/>
      <c r="O55" s="1163"/>
    </row>
    <row r="56" spans="1:15" ht="27.95" customHeight="1" x14ac:dyDescent="0.25">
      <c r="A56" s="876"/>
      <c r="B56" s="1168"/>
      <c r="C56" s="1169" t="s">
        <v>4228</v>
      </c>
      <c r="D56" s="1191">
        <v>10000000000</v>
      </c>
      <c r="E56" s="1170">
        <v>2824446537000</v>
      </c>
      <c r="F56" s="1170">
        <f t="shared" si="0"/>
        <v>0.35405166530861476</v>
      </c>
      <c r="G56" s="1171"/>
      <c r="H56" s="1171"/>
      <c r="I56" s="1172"/>
      <c r="J56" s="1172"/>
      <c r="K56" s="1172"/>
      <c r="L56" s="1172"/>
      <c r="M56" s="1172"/>
      <c r="N56" s="1172"/>
      <c r="O56" s="1172"/>
    </row>
    <row r="57" spans="1:15" ht="27.95" customHeight="1" x14ac:dyDescent="0.25">
      <c r="A57" s="876"/>
      <c r="B57" s="1168"/>
      <c r="C57" s="1169" t="s">
        <v>4229</v>
      </c>
      <c r="D57" s="1191">
        <v>12950000000</v>
      </c>
      <c r="E57" s="1170">
        <v>2824446537000</v>
      </c>
      <c r="F57" s="1170">
        <f t="shared" si="0"/>
        <v>0.45849690657465614</v>
      </c>
      <c r="G57" s="1171"/>
      <c r="H57" s="1171"/>
      <c r="I57" s="1172"/>
      <c r="J57" s="1172"/>
      <c r="K57" s="1172"/>
      <c r="L57" s="1172"/>
      <c r="M57" s="1172"/>
      <c r="N57" s="1172"/>
      <c r="O57" s="1172"/>
    </row>
    <row r="58" spans="1:15" ht="27.95" customHeight="1" x14ac:dyDescent="0.25">
      <c r="A58" s="876"/>
      <c r="B58" s="1168"/>
      <c r="C58" s="1169" t="s">
        <v>4230</v>
      </c>
      <c r="D58" s="1191">
        <v>40000000000</v>
      </c>
      <c r="E58" s="1170">
        <v>2824446537000</v>
      </c>
      <c r="F58" s="1170">
        <f t="shared" si="0"/>
        <v>1.416206661234459</v>
      </c>
      <c r="G58" s="1171"/>
      <c r="H58" s="1171"/>
      <c r="I58" s="1172"/>
      <c r="J58" s="1172"/>
      <c r="K58" s="1172"/>
      <c r="L58" s="1172"/>
      <c r="M58" s="1172"/>
      <c r="N58" s="1172"/>
      <c r="O58" s="1172"/>
    </row>
    <row r="59" spans="1:15" ht="27.95" customHeight="1" x14ac:dyDescent="0.25">
      <c r="A59" s="876"/>
      <c r="B59" s="1168"/>
      <c r="C59" s="1169" t="s">
        <v>4231</v>
      </c>
      <c r="D59" s="1191">
        <v>3000000000</v>
      </c>
      <c r="E59" s="1170">
        <v>2824446537000</v>
      </c>
      <c r="F59" s="1170">
        <f t="shared" si="0"/>
        <v>0.10621549959258442</v>
      </c>
      <c r="G59" s="1171"/>
      <c r="H59" s="1171"/>
      <c r="I59" s="1172"/>
      <c r="J59" s="1172"/>
      <c r="K59" s="1172"/>
      <c r="L59" s="1172"/>
      <c r="M59" s="1172"/>
      <c r="N59" s="1172"/>
      <c r="O59" s="1172"/>
    </row>
    <row r="60" spans="1:15" ht="27.95" customHeight="1" x14ac:dyDescent="0.25">
      <c r="A60" s="876"/>
      <c r="B60" s="1168"/>
      <c r="C60" s="1169" t="s">
        <v>4232</v>
      </c>
      <c r="D60" s="1191">
        <v>10000000000</v>
      </c>
      <c r="E60" s="1170">
        <v>2824446537000</v>
      </c>
      <c r="F60" s="1170">
        <f t="shared" si="0"/>
        <v>0.35405166530861476</v>
      </c>
      <c r="G60" s="1171"/>
      <c r="H60" s="1171"/>
      <c r="I60" s="1172"/>
      <c r="J60" s="1172"/>
      <c r="K60" s="1172"/>
      <c r="L60" s="1172"/>
      <c r="M60" s="1172"/>
      <c r="N60" s="1172"/>
      <c r="O60" s="1172"/>
    </row>
    <row r="61" spans="1:15" ht="27.95" customHeight="1" x14ac:dyDescent="0.25">
      <c r="A61" s="876"/>
      <c r="B61" s="1168"/>
      <c r="C61" s="1169" t="s">
        <v>4233</v>
      </c>
      <c r="D61" s="1191">
        <v>10000000000</v>
      </c>
      <c r="E61" s="1170">
        <v>2824446537000</v>
      </c>
      <c r="F61" s="1170">
        <f t="shared" si="0"/>
        <v>0.35405166530861476</v>
      </c>
      <c r="G61" s="1171"/>
      <c r="H61" s="1171"/>
      <c r="I61" s="1172"/>
      <c r="J61" s="1172"/>
      <c r="K61" s="1172"/>
      <c r="L61" s="1172"/>
      <c r="M61" s="1172"/>
      <c r="N61" s="1172"/>
      <c r="O61" s="1172"/>
    </row>
    <row r="62" spans="1:15" ht="27.95" customHeight="1" x14ac:dyDescent="0.25">
      <c r="A62" s="876"/>
      <c r="B62" s="1168"/>
      <c r="C62" s="1169" t="s">
        <v>4234</v>
      </c>
      <c r="D62" s="1191">
        <v>30000000000</v>
      </c>
      <c r="E62" s="1170">
        <v>2824446537000</v>
      </c>
      <c r="F62" s="1170">
        <f t="shared" si="0"/>
        <v>1.0621549959258443</v>
      </c>
      <c r="G62" s="1171"/>
      <c r="H62" s="1171"/>
      <c r="I62" s="1172"/>
      <c r="J62" s="1172"/>
      <c r="K62" s="1172"/>
      <c r="L62" s="1172"/>
      <c r="M62" s="1172"/>
      <c r="N62" s="1172"/>
      <c r="O62" s="1172"/>
    </row>
    <row r="63" spans="1:15" ht="27.95" customHeight="1" x14ac:dyDescent="0.25">
      <c r="A63" s="876"/>
      <c r="B63" s="1168"/>
      <c r="C63" s="1169" t="s">
        <v>4235</v>
      </c>
      <c r="D63" s="1191">
        <v>3000000000</v>
      </c>
      <c r="E63" s="1170">
        <v>2824446537000</v>
      </c>
      <c r="F63" s="1170">
        <f t="shared" si="0"/>
        <v>0.10621549959258442</v>
      </c>
      <c r="G63" s="1171"/>
      <c r="H63" s="1171"/>
      <c r="I63" s="1172"/>
      <c r="J63" s="1172"/>
      <c r="K63" s="1172"/>
      <c r="L63" s="1172"/>
      <c r="M63" s="1172"/>
      <c r="N63" s="1172"/>
      <c r="O63" s="1172"/>
    </row>
    <row r="64" spans="1:15" ht="27.95" customHeight="1" x14ac:dyDescent="0.25">
      <c r="A64" s="876"/>
      <c r="B64" s="1168"/>
      <c r="C64" s="1169" t="s">
        <v>4236</v>
      </c>
      <c r="D64" s="1191">
        <v>4000000000</v>
      </c>
      <c r="E64" s="1170">
        <v>2824446537000</v>
      </c>
      <c r="F64" s="1170">
        <f t="shared" si="0"/>
        <v>0.1416206661234459</v>
      </c>
      <c r="G64" s="1171"/>
      <c r="H64" s="1171"/>
      <c r="I64" s="1172"/>
      <c r="J64" s="1172"/>
      <c r="K64" s="1172"/>
      <c r="L64" s="1172"/>
      <c r="M64" s="1172"/>
      <c r="N64" s="1172"/>
      <c r="O64" s="1172"/>
    </row>
    <row r="65" spans="1:15" ht="27.95" customHeight="1" x14ac:dyDescent="0.25">
      <c r="A65" s="876"/>
      <c r="B65" s="1168"/>
      <c r="C65" s="1169" t="s">
        <v>4237</v>
      </c>
      <c r="D65" s="1191">
        <v>4000000000</v>
      </c>
      <c r="E65" s="1170">
        <v>2824446537000</v>
      </c>
      <c r="F65" s="1170">
        <f t="shared" si="0"/>
        <v>0.1416206661234459</v>
      </c>
      <c r="G65" s="1171"/>
      <c r="H65" s="1171"/>
      <c r="I65" s="1172"/>
      <c r="J65" s="1172"/>
      <c r="K65" s="1172"/>
      <c r="L65" s="1172"/>
      <c r="M65" s="1172"/>
      <c r="N65" s="1172"/>
      <c r="O65" s="1172"/>
    </row>
    <row r="66" spans="1:15" ht="27.95" customHeight="1" x14ac:dyDescent="0.25">
      <c r="A66" s="876"/>
      <c r="B66" s="1168"/>
      <c r="C66" s="1169" t="s">
        <v>4238</v>
      </c>
      <c r="D66" s="1191">
        <v>440086200000</v>
      </c>
      <c r="E66" s="1170">
        <v>2824446537000</v>
      </c>
      <c r="F66" s="1170">
        <f t="shared" si="0"/>
        <v>15.58132519893401</v>
      </c>
      <c r="G66" s="1171"/>
      <c r="H66" s="1171"/>
      <c r="I66" s="1172"/>
      <c r="J66" s="1172"/>
      <c r="K66" s="1172"/>
      <c r="L66" s="1172"/>
      <c r="M66" s="1172"/>
      <c r="N66" s="1172"/>
      <c r="O66" s="1172"/>
    </row>
    <row r="67" spans="1:15" s="882" customFormat="1" ht="27.95" customHeight="1" x14ac:dyDescent="0.25">
      <c r="A67" s="881"/>
      <c r="B67" s="1159"/>
      <c r="C67" s="1167" t="s">
        <v>4095</v>
      </c>
      <c r="D67" s="1190">
        <v>76897800000</v>
      </c>
      <c r="E67" s="1161">
        <v>2824446537000</v>
      </c>
      <c r="F67" s="1161">
        <f t="shared" si="0"/>
        <v>2.7225794148568796</v>
      </c>
      <c r="G67" s="1162"/>
      <c r="H67" s="1162"/>
      <c r="I67" s="1163"/>
      <c r="J67" s="1163"/>
      <c r="K67" s="1163"/>
      <c r="L67" s="1163"/>
      <c r="M67" s="1163"/>
      <c r="N67" s="1163"/>
      <c r="O67" s="1163"/>
    </row>
    <row r="68" spans="1:15" ht="27.95" customHeight="1" x14ac:dyDescent="0.25">
      <c r="A68" s="876"/>
      <c r="B68" s="1168"/>
      <c r="C68" s="1169" t="s">
        <v>4096</v>
      </c>
      <c r="D68" s="1191">
        <v>73897800000</v>
      </c>
      <c r="E68" s="1170">
        <v>2824446537000</v>
      </c>
      <c r="F68" s="1170">
        <f t="shared" si="0"/>
        <v>2.6163639152642952</v>
      </c>
      <c r="G68" s="1171"/>
      <c r="H68" s="1171"/>
      <c r="I68" s="1172"/>
      <c r="J68" s="1172"/>
      <c r="K68" s="1172"/>
      <c r="L68" s="1172"/>
      <c r="M68" s="1172"/>
      <c r="N68" s="1172"/>
      <c r="O68" s="1172"/>
    </row>
    <row r="69" spans="1:15" ht="31.5" customHeight="1" x14ac:dyDescent="0.25">
      <c r="A69" s="876"/>
      <c r="B69" s="1168"/>
      <c r="C69" s="1174" t="s">
        <v>4239</v>
      </c>
      <c r="D69" s="1191">
        <v>3000000000</v>
      </c>
      <c r="E69" s="1170">
        <v>2824446537000</v>
      </c>
      <c r="F69" s="1170">
        <f t="shared" si="0"/>
        <v>0.10621549959258442</v>
      </c>
      <c r="G69" s="1171"/>
      <c r="H69" s="1171"/>
      <c r="I69" s="1172"/>
      <c r="J69" s="1172"/>
      <c r="K69" s="1172"/>
      <c r="L69" s="1172"/>
      <c r="M69" s="1172"/>
      <c r="N69" s="1172"/>
      <c r="O69" s="1172"/>
    </row>
    <row r="70" spans="1:15" s="882" customFormat="1" ht="27.95" customHeight="1" x14ac:dyDescent="0.25">
      <c r="A70" s="881"/>
      <c r="B70" s="1159"/>
      <c r="C70" s="1167" t="s">
        <v>4240</v>
      </c>
      <c r="D70" s="1190">
        <v>11950000000</v>
      </c>
      <c r="E70" s="1161">
        <v>2824446537000</v>
      </c>
      <c r="F70" s="1161">
        <f t="shared" si="0"/>
        <v>0.42309174004379463</v>
      </c>
      <c r="G70" s="1162"/>
      <c r="H70" s="1162"/>
      <c r="I70" s="1163"/>
      <c r="J70" s="1163"/>
      <c r="K70" s="1163"/>
      <c r="L70" s="1163"/>
      <c r="M70" s="1163"/>
      <c r="N70" s="1163"/>
      <c r="O70" s="1163"/>
    </row>
    <row r="71" spans="1:15" ht="27.95" customHeight="1" x14ac:dyDescent="0.25">
      <c r="A71" s="876"/>
      <c r="B71" s="1168"/>
      <c r="C71" s="1169" t="s">
        <v>4241</v>
      </c>
      <c r="D71" s="1191">
        <v>2000000000</v>
      </c>
      <c r="E71" s="1170">
        <v>2824446537000</v>
      </c>
      <c r="F71" s="1170">
        <f t="shared" si="0"/>
        <v>7.0810333061722949E-2</v>
      </c>
      <c r="G71" s="1171"/>
      <c r="H71" s="1171"/>
      <c r="I71" s="1172"/>
      <c r="J71" s="1172"/>
      <c r="K71" s="1172"/>
      <c r="L71" s="1172"/>
      <c r="M71" s="1172"/>
      <c r="N71" s="1172"/>
      <c r="O71" s="1172"/>
    </row>
    <row r="72" spans="1:15" ht="27.95" customHeight="1" x14ac:dyDescent="0.25">
      <c r="A72" s="876"/>
      <c r="B72" s="1168"/>
      <c r="C72" s="1169" t="s">
        <v>4242</v>
      </c>
      <c r="D72" s="1191">
        <v>1000000000</v>
      </c>
      <c r="E72" s="1170">
        <v>2824446537000</v>
      </c>
      <c r="F72" s="1170">
        <f t="shared" si="0"/>
        <v>3.5405166530861475E-2</v>
      </c>
      <c r="G72" s="1171"/>
      <c r="H72" s="1171"/>
      <c r="I72" s="1172"/>
      <c r="J72" s="1172"/>
      <c r="K72" s="1172"/>
      <c r="L72" s="1172"/>
      <c r="M72" s="1172"/>
      <c r="N72" s="1172"/>
      <c r="O72" s="1172"/>
    </row>
    <row r="73" spans="1:15" s="147" customFormat="1" ht="27.95" customHeight="1" x14ac:dyDescent="0.25">
      <c r="A73" s="145"/>
      <c r="B73" s="1168"/>
      <c r="C73" s="1175" t="s">
        <v>4243</v>
      </c>
      <c r="D73" s="1192">
        <v>1800000000</v>
      </c>
      <c r="E73" s="1170">
        <v>2824446537000</v>
      </c>
      <c r="F73" s="1170">
        <f t="shared" si="0"/>
        <v>6.3729299755550653E-2</v>
      </c>
      <c r="G73" s="1170"/>
      <c r="H73" s="1170"/>
      <c r="I73" s="1176"/>
      <c r="J73" s="1176"/>
      <c r="K73" s="1176"/>
      <c r="L73" s="1176"/>
      <c r="M73" s="1176"/>
      <c r="N73" s="1176"/>
      <c r="O73" s="1176"/>
    </row>
    <row r="74" spans="1:15" ht="27.95" customHeight="1" x14ac:dyDescent="0.25">
      <c r="A74" s="876"/>
      <c r="B74" s="1168"/>
      <c r="C74" s="1169" t="s">
        <v>4244</v>
      </c>
      <c r="D74" s="1191">
        <v>1000000000</v>
      </c>
      <c r="E74" s="1170">
        <v>2824446537000</v>
      </c>
      <c r="F74" s="1170">
        <f t="shared" si="0"/>
        <v>3.5405166530861475E-2</v>
      </c>
      <c r="G74" s="1171"/>
      <c r="H74" s="1171"/>
      <c r="I74" s="1172"/>
      <c r="J74" s="1172"/>
      <c r="K74" s="1172"/>
      <c r="L74" s="1172"/>
      <c r="M74" s="1172"/>
      <c r="N74" s="1172"/>
      <c r="O74" s="1172"/>
    </row>
    <row r="75" spans="1:15" ht="27.95" customHeight="1" x14ac:dyDescent="0.25">
      <c r="A75" s="876"/>
      <c r="B75" s="1168"/>
      <c r="C75" s="1169" t="s">
        <v>4245</v>
      </c>
      <c r="D75" s="1191">
        <v>400000000</v>
      </c>
      <c r="E75" s="1170">
        <v>2824446537000</v>
      </c>
      <c r="F75" s="1170">
        <f t="shared" si="0"/>
        <v>1.4162066612344591E-2</v>
      </c>
      <c r="G75" s="1171"/>
      <c r="H75" s="1171"/>
      <c r="I75" s="1172"/>
      <c r="J75" s="1172"/>
      <c r="K75" s="1172"/>
      <c r="L75" s="1172"/>
      <c r="M75" s="1172"/>
      <c r="N75" s="1172"/>
      <c r="O75" s="1172"/>
    </row>
    <row r="76" spans="1:15" ht="27.95" customHeight="1" x14ac:dyDescent="0.25">
      <c r="A76" s="876"/>
      <c r="B76" s="1168"/>
      <c r="C76" s="1169" t="s">
        <v>4246</v>
      </c>
      <c r="D76" s="1191">
        <v>400000000</v>
      </c>
      <c r="E76" s="1170">
        <v>2824446537000</v>
      </c>
      <c r="F76" s="1170">
        <f t="shared" si="0"/>
        <v>1.4162066612344591E-2</v>
      </c>
      <c r="G76" s="1171"/>
      <c r="H76" s="1171"/>
      <c r="I76" s="1172"/>
      <c r="J76" s="1172"/>
      <c r="K76" s="1172"/>
      <c r="L76" s="1172"/>
      <c r="M76" s="1172"/>
      <c r="N76" s="1172"/>
      <c r="O76" s="1172"/>
    </row>
    <row r="77" spans="1:15" ht="27.95" customHeight="1" x14ac:dyDescent="0.25">
      <c r="A77" s="876"/>
      <c r="B77" s="1168"/>
      <c r="C77" s="1177" t="s">
        <v>4247</v>
      </c>
      <c r="D77" s="1191">
        <v>900000000</v>
      </c>
      <c r="E77" s="1170">
        <v>2824446537000</v>
      </c>
      <c r="F77" s="1170">
        <f t="shared" si="0"/>
        <v>3.1864649877775326E-2</v>
      </c>
      <c r="G77" s="1171"/>
      <c r="H77" s="1171"/>
      <c r="I77" s="1172"/>
      <c r="J77" s="1172"/>
      <c r="K77" s="1172"/>
      <c r="L77" s="1172"/>
      <c r="M77" s="1172"/>
      <c r="N77" s="1172"/>
      <c r="O77" s="1172"/>
    </row>
    <row r="78" spans="1:15" ht="27.95" customHeight="1" x14ac:dyDescent="0.25">
      <c r="A78" s="876"/>
      <c r="B78" s="1168"/>
      <c r="C78" s="1169" t="s">
        <v>4248</v>
      </c>
      <c r="D78" s="1191">
        <v>2000000000</v>
      </c>
      <c r="E78" s="1170">
        <v>2824446537000</v>
      </c>
      <c r="F78" s="1170">
        <f t="shared" ref="F78:F141" si="1">D78/E78*100</f>
        <v>7.0810333061722949E-2</v>
      </c>
      <c r="G78" s="1171"/>
      <c r="H78" s="1171"/>
      <c r="I78" s="1172"/>
      <c r="J78" s="1172"/>
      <c r="K78" s="1172"/>
      <c r="L78" s="1172"/>
      <c r="M78" s="1172"/>
      <c r="N78" s="1172"/>
      <c r="O78" s="1172"/>
    </row>
    <row r="79" spans="1:15" ht="27.95" customHeight="1" x14ac:dyDescent="0.25">
      <c r="A79" s="876"/>
      <c r="B79" s="1168"/>
      <c r="C79" s="1169" t="s">
        <v>4249</v>
      </c>
      <c r="D79" s="1191">
        <v>400000000</v>
      </c>
      <c r="E79" s="1170">
        <v>2824446537000</v>
      </c>
      <c r="F79" s="1170">
        <f t="shared" si="1"/>
        <v>1.4162066612344591E-2</v>
      </c>
      <c r="G79" s="1171"/>
      <c r="H79" s="1171"/>
      <c r="I79" s="1172"/>
      <c r="J79" s="1172"/>
      <c r="K79" s="1172"/>
      <c r="L79" s="1172"/>
      <c r="M79" s="1172"/>
      <c r="N79" s="1172"/>
      <c r="O79" s="1172"/>
    </row>
    <row r="80" spans="1:15" ht="27.95" customHeight="1" x14ac:dyDescent="0.25">
      <c r="A80" s="876"/>
      <c r="B80" s="1168"/>
      <c r="C80" s="1169" t="s">
        <v>4250</v>
      </c>
      <c r="D80" s="1191">
        <v>650000000</v>
      </c>
      <c r="E80" s="1170">
        <v>2824446537000</v>
      </c>
      <c r="F80" s="1170">
        <f t="shared" si="1"/>
        <v>2.301335824505996E-2</v>
      </c>
      <c r="G80" s="1171"/>
      <c r="H80" s="1171"/>
      <c r="I80" s="1172"/>
      <c r="J80" s="1172"/>
      <c r="K80" s="1172"/>
      <c r="L80" s="1172"/>
      <c r="M80" s="1172"/>
      <c r="N80" s="1172"/>
      <c r="O80" s="1172"/>
    </row>
    <row r="81" spans="1:15" ht="27.95" customHeight="1" x14ac:dyDescent="0.25">
      <c r="A81" s="876"/>
      <c r="B81" s="1168"/>
      <c r="C81" s="1169" t="s">
        <v>4251</v>
      </c>
      <c r="D81" s="1191">
        <v>1000000000</v>
      </c>
      <c r="E81" s="1170">
        <v>2824446537000</v>
      </c>
      <c r="F81" s="1170">
        <f t="shared" si="1"/>
        <v>3.5405166530861475E-2</v>
      </c>
      <c r="G81" s="1171"/>
      <c r="H81" s="1171"/>
      <c r="I81" s="1172"/>
      <c r="J81" s="1172"/>
      <c r="K81" s="1172"/>
      <c r="L81" s="1172"/>
      <c r="M81" s="1172"/>
      <c r="N81" s="1172"/>
      <c r="O81" s="1172"/>
    </row>
    <row r="82" spans="1:15" ht="27.95" customHeight="1" x14ac:dyDescent="0.25">
      <c r="A82" s="876"/>
      <c r="B82" s="1168"/>
      <c r="C82" s="1169" t="s">
        <v>4252</v>
      </c>
      <c r="D82" s="1191">
        <v>400000000</v>
      </c>
      <c r="E82" s="1170">
        <v>2824446537000</v>
      </c>
      <c r="F82" s="1170">
        <f t="shared" si="1"/>
        <v>1.4162066612344591E-2</v>
      </c>
      <c r="G82" s="1171"/>
      <c r="H82" s="1171"/>
      <c r="I82" s="1172"/>
      <c r="J82" s="1172"/>
      <c r="K82" s="1172"/>
      <c r="L82" s="1172"/>
      <c r="M82" s="1172"/>
      <c r="N82" s="1172"/>
      <c r="O82" s="1172"/>
    </row>
    <row r="83" spans="1:15" ht="27.95" customHeight="1" x14ac:dyDescent="0.25">
      <c r="A83" s="876"/>
      <c r="B83" s="1168"/>
      <c r="C83" s="1169"/>
      <c r="D83" s="1191"/>
      <c r="E83" s="1170">
        <v>2824446537000</v>
      </c>
      <c r="F83" s="1170">
        <f t="shared" si="1"/>
        <v>0</v>
      </c>
      <c r="G83" s="1171"/>
      <c r="H83" s="1171"/>
      <c r="I83" s="1172"/>
      <c r="J83" s="1172"/>
      <c r="K83" s="1172"/>
      <c r="L83" s="1172"/>
      <c r="M83" s="1172"/>
      <c r="N83" s="1172"/>
      <c r="O83" s="1172"/>
    </row>
    <row r="84" spans="1:15" s="882" customFormat="1" ht="27.95" customHeight="1" x14ac:dyDescent="0.25">
      <c r="A84" s="881"/>
      <c r="B84" s="1159"/>
      <c r="C84" s="1167" t="s">
        <v>869</v>
      </c>
      <c r="D84" s="1190">
        <f>+D85+D89+D91+D93+D107+D116</f>
        <v>100000000000</v>
      </c>
      <c r="E84" s="1161">
        <v>2824446537000</v>
      </c>
      <c r="F84" s="1161">
        <f t="shared" si="1"/>
        <v>3.5405166530861476</v>
      </c>
      <c r="G84" s="1162"/>
      <c r="H84" s="1162"/>
      <c r="I84" s="1163"/>
      <c r="J84" s="1163"/>
      <c r="K84" s="1163"/>
      <c r="L84" s="1163"/>
      <c r="M84" s="1163"/>
      <c r="N84" s="1163"/>
      <c r="O84" s="1163"/>
    </row>
    <row r="85" spans="1:15" s="154" customFormat="1" ht="36" customHeight="1" x14ac:dyDescent="0.25">
      <c r="A85" s="153"/>
      <c r="B85" s="1159"/>
      <c r="C85" s="1197" t="s">
        <v>1285</v>
      </c>
      <c r="D85" s="1193">
        <v>3794250000</v>
      </c>
      <c r="E85" s="1161">
        <v>2824446537000</v>
      </c>
      <c r="F85" s="1161">
        <f t="shared" si="1"/>
        <v>0.13433605310972116</v>
      </c>
      <c r="G85" s="1161"/>
      <c r="H85" s="1161"/>
      <c r="I85" s="1166"/>
      <c r="J85" s="1166"/>
      <c r="K85" s="1166"/>
      <c r="L85" s="1166"/>
      <c r="M85" s="1166"/>
      <c r="N85" s="1166"/>
      <c r="O85" s="1166"/>
    </row>
    <row r="86" spans="1:15" ht="36.75" customHeight="1" x14ac:dyDescent="0.25">
      <c r="A86" s="876"/>
      <c r="B86" s="1168"/>
      <c r="C86" s="1174" t="s">
        <v>4253</v>
      </c>
      <c r="D86" s="1191">
        <v>1690500000</v>
      </c>
      <c r="E86" s="1170">
        <v>2824446537000</v>
      </c>
      <c r="F86" s="1170">
        <f t="shared" si="1"/>
        <v>5.985243402042132E-2</v>
      </c>
      <c r="G86" s="1171"/>
      <c r="H86" s="1171"/>
      <c r="I86" s="1172"/>
      <c r="J86" s="1172"/>
      <c r="K86" s="1172"/>
      <c r="L86" s="1172"/>
      <c r="M86" s="1172"/>
      <c r="N86" s="1172"/>
      <c r="O86" s="1172"/>
    </row>
    <row r="87" spans="1:15" ht="27.95" customHeight="1" x14ac:dyDescent="0.25">
      <c r="A87" s="876"/>
      <c r="B87" s="1168"/>
      <c r="C87" s="1169" t="s">
        <v>4254</v>
      </c>
      <c r="D87" s="1191">
        <v>894250000</v>
      </c>
      <c r="E87" s="1170">
        <v>2824446537000</v>
      </c>
      <c r="F87" s="1170">
        <f t="shared" si="1"/>
        <v>3.1661070170222877E-2</v>
      </c>
      <c r="G87" s="1171"/>
      <c r="H87" s="1171"/>
      <c r="I87" s="1172"/>
      <c r="J87" s="1172"/>
      <c r="K87" s="1172"/>
      <c r="L87" s="1172"/>
      <c r="M87" s="1172"/>
      <c r="N87" s="1172"/>
      <c r="O87" s="1172"/>
    </row>
    <row r="88" spans="1:15" ht="27.95" customHeight="1" x14ac:dyDescent="0.25">
      <c r="A88" s="876"/>
      <c r="B88" s="1168"/>
      <c r="C88" s="1169" t="s">
        <v>4255</v>
      </c>
      <c r="D88" s="1191">
        <v>1209500000</v>
      </c>
      <c r="E88" s="1170">
        <v>2824446537000</v>
      </c>
      <c r="F88" s="1170">
        <f t="shared" si="1"/>
        <v>4.2822548919076955E-2</v>
      </c>
      <c r="G88" s="1171"/>
      <c r="H88" s="1171"/>
      <c r="I88" s="1172"/>
      <c r="J88" s="1172"/>
      <c r="K88" s="1172"/>
      <c r="L88" s="1172"/>
      <c r="M88" s="1172"/>
      <c r="N88" s="1172"/>
      <c r="O88" s="1172"/>
    </row>
    <row r="89" spans="1:15" s="882" customFormat="1" ht="37.5" customHeight="1" x14ac:dyDescent="0.25">
      <c r="A89" s="881"/>
      <c r="B89" s="1159"/>
      <c r="C89" s="1173" t="s">
        <v>4256</v>
      </c>
      <c r="D89" s="1190">
        <v>515000000</v>
      </c>
      <c r="E89" s="1161">
        <v>2824446537000</v>
      </c>
      <c r="F89" s="1161">
        <f t="shared" si="1"/>
        <v>1.823366076339366E-2</v>
      </c>
      <c r="G89" s="1162"/>
      <c r="H89" s="1162"/>
      <c r="I89" s="1163"/>
      <c r="J89" s="1163"/>
      <c r="K89" s="1163"/>
      <c r="L89" s="1163"/>
      <c r="M89" s="1163"/>
      <c r="N89" s="1163"/>
      <c r="O89" s="1163"/>
    </row>
    <row r="90" spans="1:15" ht="27.95" customHeight="1" x14ac:dyDescent="0.25">
      <c r="A90" s="876"/>
      <c r="B90" s="1168"/>
      <c r="C90" s="1169" t="s">
        <v>4257</v>
      </c>
      <c r="D90" s="1191">
        <v>515000000</v>
      </c>
      <c r="E90" s="1170">
        <v>2824446537000</v>
      </c>
      <c r="F90" s="1170">
        <f t="shared" si="1"/>
        <v>1.823366076339366E-2</v>
      </c>
      <c r="G90" s="1171"/>
      <c r="H90" s="1171"/>
      <c r="I90" s="1172"/>
      <c r="J90" s="1172"/>
      <c r="K90" s="1172"/>
      <c r="L90" s="1172"/>
      <c r="M90" s="1172"/>
      <c r="N90" s="1172"/>
      <c r="O90" s="1172"/>
    </row>
    <row r="91" spans="1:15" s="882" customFormat="1" ht="27.95" customHeight="1" x14ac:dyDescent="0.25">
      <c r="A91" s="881"/>
      <c r="B91" s="1159"/>
      <c r="C91" s="1167" t="s">
        <v>1595</v>
      </c>
      <c r="D91" s="1190">
        <v>5263500000</v>
      </c>
      <c r="E91" s="1161">
        <v>2824446537000</v>
      </c>
      <c r="F91" s="1161">
        <f t="shared" si="1"/>
        <v>0.18635509403518938</v>
      </c>
      <c r="G91" s="1162"/>
      <c r="H91" s="1162"/>
      <c r="I91" s="1163"/>
      <c r="J91" s="1163"/>
      <c r="K91" s="1163"/>
      <c r="L91" s="1163"/>
      <c r="M91" s="1163"/>
      <c r="N91" s="1163"/>
      <c r="O91" s="1163"/>
    </row>
    <row r="92" spans="1:15" ht="27.95" customHeight="1" x14ac:dyDescent="0.25">
      <c r="A92" s="876"/>
      <c r="B92" s="1168"/>
      <c r="C92" s="1169" t="s">
        <v>4258</v>
      </c>
      <c r="D92" s="1191">
        <v>5263500000</v>
      </c>
      <c r="E92" s="1170">
        <v>2824446537000</v>
      </c>
      <c r="F92" s="1170">
        <f t="shared" si="1"/>
        <v>0.18635509403518938</v>
      </c>
      <c r="G92" s="1171"/>
      <c r="H92" s="1171"/>
      <c r="I92" s="1172"/>
      <c r="J92" s="1172"/>
      <c r="K92" s="1172"/>
      <c r="L92" s="1172"/>
      <c r="M92" s="1172"/>
      <c r="N92" s="1172"/>
      <c r="O92" s="1172"/>
    </row>
    <row r="93" spans="1:15" s="882" customFormat="1" ht="34.5" customHeight="1" x14ac:dyDescent="0.25">
      <c r="A93" s="881"/>
      <c r="B93" s="1159"/>
      <c r="C93" s="1173" t="s">
        <v>2489</v>
      </c>
      <c r="D93" s="1190">
        <v>75944600000</v>
      </c>
      <c r="E93" s="1161">
        <v>2824446537000</v>
      </c>
      <c r="F93" s="1161">
        <f t="shared" si="1"/>
        <v>2.6888312101196625</v>
      </c>
      <c r="G93" s="1162"/>
      <c r="H93" s="1162"/>
      <c r="I93" s="1163"/>
      <c r="J93" s="1163"/>
      <c r="K93" s="1163"/>
      <c r="L93" s="1163"/>
      <c r="M93" s="1163"/>
      <c r="N93" s="1163"/>
      <c r="O93" s="1163"/>
    </row>
    <row r="94" spans="1:15" ht="27.95" customHeight="1" x14ac:dyDescent="0.25">
      <c r="A94" s="876"/>
      <c r="B94" s="1168"/>
      <c r="C94" s="1169" t="s">
        <v>4112</v>
      </c>
      <c r="D94" s="1191">
        <v>4402200000</v>
      </c>
      <c r="E94" s="1170">
        <v>2824446537000</v>
      </c>
      <c r="F94" s="1170">
        <f t="shared" si="1"/>
        <v>0.1558606241021584</v>
      </c>
      <c r="G94" s="1171"/>
      <c r="H94" s="1171"/>
      <c r="I94" s="1172"/>
      <c r="J94" s="1172"/>
      <c r="K94" s="1172"/>
      <c r="L94" s="1172"/>
      <c r="M94" s="1172"/>
      <c r="N94" s="1172"/>
      <c r="O94" s="1172"/>
    </row>
    <row r="95" spans="1:15" ht="27.95" customHeight="1" x14ac:dyDescent="0.25">
      <c r="A95" s="876"/>
      <c r="B95" s="1168"/>
      <c r="C95" s="1169" t="s">
        <v>4116</v>
      </c>
      <c r="D95" s="1191">
        <v>4044350000</v>
      </c>
      <c r="E95" s="1170">
        <v>2824446537000</v>
      </c>
      <c r="F95" s="1170">
        <f t="shared" si="1"/>
        <v>0.1431908852590896</v>
      </c>
      <c r="G95" s="1171"/>
      <c r="H95" s="1171"/>
      <c r="I95" s="1172"/>
      <c r="J95" s="1172"/>
      <c r="K95" s="1172"/>
      <c r="L95" s="1172"/>
      <c r="M95" s="1172"/>
      <c r="N95" s="1172"/>
      <c r="O95" s="1172"/>
    </row>
    <row r="96" spans="1:15" ht="27.95" customHeight="1" x14ac:dyDescent="0.25">
      <c r="A96" s="876"/>
      <c r="B96" s="1168"/>
      <c r="C96" s="1169" t="s">
        <v>4117</v>
      </c>
      <c r="D96" s="1191">
        <v>10617500000</v>
      </c>
      <c r="E96" s="1170">
        <v>2824446537000</v>
      </c>
      <c r="F96" s="1170">
        <f t="shared" si="1"/>
        <v>0.37591435564142173</v>
      </c>
      <c r="G96" s="1171"/>
      <c r="H96" s="1171"/>
      <c r="I96" s="1172"/>
      <c r="J96" s="1172"/>
      <c r="K96" s="1172"/>
      <c r="L96" s="1172"/>
      <c r="M96" s="1172"/>
      <c r="N96" s="1172"/>
      <c r="O96" s="1172"/>
    </row>
    <row r="97" spans="1:15" ht="27.95" customHeight="1" x14ac:dyDescent="0.25">
      <c r="A97" s="876"/>
      <c r="B97" s="1168"/>
      <c r="C97" s="1169" t="s">
        <v>4259</v>
      </c>
      <c r="D97" s="1191">
        <v>4632250000</v>
      </c>
      <c r="E97" s="1170">
        <v>2824446537000</v>
      </c>
      <c r="F97" s="1170">
        <f t="shared" si="1"/>
        <v>0.16400558266258308</v>
      </c>
      <c r="G97" s="1171"/>
      <c r="H97" s="1171"/>
      <c r="I97" s="1172"/>
      <c r="J97" s="1172"/>
      <c r="K97" s="1172"/>
      <c r="L97" s="1172"/>
      <c r="M97" s="1172"/>
      <c r="N97" s="1172"/>
      <c r="O97" s="1172"/>
    </row>
    <row r="98" spans="1:15" ht="27.95" customHeight="1" x14ac:dyDescent="0.25">
      <c r="A98" s="876"/>
      <c r="B98" s="1168"/>
      <c r="C98" s="1169" t="s">
        <v>4119</v>
      </c>
      <c r="D98" s="1191">
        <v>6157500000</v>
      </c>
      <c r="E98" s="1170">
        <v>2824446537000</v>
      </c>
      <c r="F98" s="1170">
        <f t="shared" si="1"/>
        <v>0.21800731291377953</v>
      </c>
      <c r="G98" s="1171"/>
      <c r="H98" s="1171"/>
      <c r="I98" s="1172"/>
      <c r="J98" s="1172"/>
      <c r="K98" s="1172"/>
      <c r="L98" s="1172"/>
      <c r="M98" s="1172"/>
      <c r="N98" s="1172"/>
      <c r="O98" s="1172"/>
    </row>
    <row r="99" spans="1:15" ht="27.95" customHeight="1" x14ac:dyDescent="0.25">
      <c r="A99" s="876"/>
      <c r="B99" s="1168"/>
      <c r="C99" s="1169" t="s">
        <v>4260</v>
      </c>
      <c r="D99" s="1191">
        <v>4356750000</v>
      </c>
      <c r="E99" s="1170">
        <v>2824446537000</v>
      </c>
      <c r="F99" s="1170">
        <f t="shared" si="1"/>
        <v>0.15425145928333076</v>
      </c>
      <c r="G99" s="1171"/>
      <c r="H99" s="1171"/>
      <c r="I99" s="1172"/>
      <c r="J99" s="1172"/>
      <c r="K99" s="1172"/>
      <c r="L99" s="1172"/>
      <c r="M99" s="1172"/>
      <c r="N99" s="1172"/>
      <c r="O99" s="1172"/>
    </row>
    <row r="100" spans="1:15" ht="27.95" customHeight="1" x14ac:dyDescent="0.25">
      <c r="A100" s="876"/>
      <c r="B100" s="1168"/>
      <c r="C100" s="1169" t="s">
        <v>4123</v>
      </c>
      <c r="D100" s="1191">
        <v>4432450000</v>
      </c>
      <c r="E100" s="1170">
        <v>2824446537000</v>
      </c>
      <c r="F100" s="1170">
        <f t="shared" si="1"/>
        <v>0.15693163038971694</v>
      </c>
      <c r="G100" s="1171"/>
      <c r="H100" s="1171"/>
      <c r="I100" s="1172"/>
      <c r="J100" s="1172"/>
      <c r="K100" s="1172"/>
      <c r="L100" s="1172"/>
      <c r="M100" s="1172"/>
      <c r="N100" s="1172"/>
      <c r="O100" s="1172"/>
    </row>
    <row r="101" spans="1:15" ht="27.95" customHeight="1" x14ac:dyDescent="0.25">
      <c r="A101" s="876"/>
      <c r="B101" s="1168"/>
      <c r="C101" s="1169" t="s">
        <v>4124</v>
      </c>
      <c r="D101" s="1191">
        <v>5478000000</v>
      </c>
      <c r="E101" s="1170">
        <v>2824446537000</v>
      </c>
      <c r="F101" s="1170">
        <f t="shared" si="1"/>
        <v>0.19394950225605917</v>
      </c>
      <c r="G101" s="1171"/>
      <c r="H101" s="1171"/>
      <c r="I101" s="1172"/>
      <c r="J101" s="1172"/>
      <c r="K101" s="1172"/>
      <c r="L101" s="1172"/>
      <c r="M101" s="1172"/>
      <c r="N101" s="1172"/>
      <c r="O101" s="1172"/>
    </row>
    <row r="102" spans="1:15" ht="27.95" customHeight="1" x14ac:dyDescent="0.25">
      <c r="A102" s="876"/>
      <c r="B102" s="1168"/>
      <c r="C102" s="1169" t="s">
        <v>4125</v>
      </c>
      <c r="D102" s="1191">
        <v>10807250000</v>
      </c>
      <c r="E102" s="1170">
        <v>2824446537000</v>
      </c>
      <c r="F102" s="1170">
        <f t="shared" si="1"/>
        <v>0.38263248599065269</v>
      </c>
      <c r="G102" s="1171"/>
      <c r="H102" s="1171"/>
      <c r="I102" s="1172"/>
      <c r="J102" s="1172"/>
      <c r="K102" s="1172"/>
      <c r="L102" s="1172"/>
      <c r="M102" s="1172"/>
      <c r="N102" s="1172"/>
      <c r="O102" s="1172"/>
    </row>
    <row r="103" spans="1:15" ht="34.5" customHeight="1" x14ac:dyDescent="0.25">
      <c r="A103" s="876"/>
      <c r="B103" s="1168"/>
      <c r="C103" s="1174" t="s">
        <v>4128</v>
      </c>
      <c r="D103" s="1191">
        <v>6303350000</v>
      </c>
      <c r="E103" s="1170">
        <v>2824446537000</v>
      </c>
      <c r="F103" s="1170">
        <f t="shared" si="1"/>
        <v>0.22317115645230567</v>
      </c>
      <c r="G103" s="1171"/>
      <c r="H103" s="1171"/>
      <c r="I103" s="1172"/>
      <c r="J103" s="1172"/>
      <c r="K103" s="1172"/>
      <c r="L103" s="1172"/>
      <c r="M103" s="1172"/>
      <c r="N103" s="1172"/>
      <c r="O103" s="1172"/>
    </row>
    <row r="104" spans="1:15" ht="36" customHeight="1" x14ac:dyDescent="0.25">
      <c r="A104" s="876"/>
      <c r="B104" s="1168"/>
      <c r="C104" s="1174" t="s">
        <v>4129</v>
      </c>
      <c r="D104" s="1191">
        <v>4480250000</v>
      </c>
      <c r="E104" s="1170">
        <v>2824446537000</v>
      </c>
      <c r="F104" s="1170">
        <f t="shared" si="1"/>
        <v>0.15862399734989213</v>
      </c>
      <c r="G104" s="1171"/>
      <c r="H104" s="1171"/>
      <c r="I104" s="1172"/>
      <c r="J104" s="1172"/>
      <c r="K104" s="1172"/>
      <c r="L104" s="1172"/>
      <c r="M104" s="1172"/>
      <c r="N104" s="1172"/>
      <c r="O104" s="1172"/>
    </row>
    <row r="105" spans="1:15" ht="27.95" customHeight="1" x14ac:dyDescent="0.25">
      <c r="A105" s="876"/>
      <c r="B105" s="1168"/>
      <c r="C105" s="1169" t="s">
        <v>4130</v>
      </c>
      <c r="D105" s="1191">
        <v>4433250000</v>
      </c>
      <c r="E105" s="1170">
        <v>2824446537000</v>
      </c>
      <c r="F105" s="1170">
        <f t="shared" si="1"/>
        <v>0.15695995452294165</v>
      </c>
      <c r="G105" s="1171"/>
      <c r="H105" s="1171"/>
      <c r="I105" s="1172"/>
      <c r="J105" s="1172"/>
      <c r="K105" s="1172"/>
      <c r="L105" s="1172"/>
      <c r="M105" s="1172"/>
      <c r="N105" s="1172"/>
      <c r="O105" s="1172"/>
    </row>
    <row r="106" spans="1:15" ht="38.25" customHeight="1" x14ac:dyDescent="0.25">
      <c r="A106" s="876"/>
      <c r="B106" s="1168"/>
      <c r="C106" s="1174" t="s">
        <v>4261</v>
      </c>
      <c r="D106" s="1191">
        <v>5799500000</v>
      </c>
      <c r="E106" s="1170">
        <v>2824446537000</v>
      </c>
      <c r="F106" s="1170">
        <f t="shared" si="1"/>
        <v>0.20533226329573112</v>
      </c>
      <c r="G106" s="1171"/>
      <c r="H106" s="1171"/>
      <c r="I106" s="1172"/>
      <c r="J106" s="1172"/>
      <c r="K106" s="1172"/>
      <c r="L106" s="1172"/>
      <c r="M106" s="1172"/>
      <c r="N106" s="1172"/>
      <c r="O106" s="1172"/>
    </row>
    <row r="107" spans="1:15" s="882" customFormat="1" ht="27.95" customHeight="1" x14ac:dyDescent="0.25">
      <c r="A107" s="881"/>
      <c r="B107" s="1159"/>
      <c r="C107" s="1167" t="s">
        <v>4134</v>
      </c>
      <c r="D107" s="1190">
        <v>14248250000</v>
      </c>
      <c r="E107" s="1161">
        <v>2824446537000</v>
      </c>
      <c r="F107" s="1161">
        <f t="shared" si="1"/>
        <v>0.50446166402334702</v>
      </c>
      <c r="G107" s="1162"/>
      <c r="H107" s="1162"/>
      <c r="I107" s="1163"/>
      <c r="J107" s="1163"/>
      <c r="K107" s="1163"/>
      <c r="L107" s="1163"/>
      <c r="M107" s="1163"/>
      <c r="N107" s="1163"/>
      <c r="O107" s="1163"/>
    </row>
    <row r="108" spans="1:15" ht="27.95" customHeight="1" x14ac:dyDescent="0.25">
      <c r="A108" s="876"/>
      <c r="B108" s="1168"/>
      <c r="C108" s="1169" t="s">
        <v>4262</v>
      </c>
      <c r="D108" s="1191">
        <v>3102000000</v>
      </c>
      <c r="E108" s="1170">
        <v>2824446537000</v>
      </c>
      <c r="F108" s="1170">
        <f t="shared" si="1"/>
        <v>0.1098268265787323</v>
      </c>
      <c r="G108" s="1171"/>
      <c r="H108" s="1171"/>
      <c r="I108" s="1172"/>
      <c r="J108" s="1172"/>
      <c r="K108" s="1172"/>
      <c r="L108" s="1172"/>
      <c r="M108" s="1172"/>
      <c r="N108" s="1172"/>
      <c r="O108" s="1172"/>
    </row>
    <row r="109" spans="1:15" ht="27.95" customHeight="1" x14ac:dyDescent="0.25">
      <c r="A109" s="876"/>
      <c r="B109" s="1168"/>
      <c r="C109" s="1169" t="s">
        <v>4263</v>
      </c>
      <c r="D109" s="1191">
        <v>2300500000</v>
      </c>
      <c r="E109" s="1170">
        <v>2824446537000</v>
      </c>
      <c r="F109" s="1170">
        <f t="shared" si="1"/>
        <v>8.1449585604246824E-2</v>
      </c>
      <c r="G109" s="1171"/>
      <c r="H109" s="1171"/>
      <c r="I109" s="1172"/>
      <c r="J109" s="1172"/>
      <c r="K109" s="1172"/>
      <c r="L109" s="1172"/>
      <c r="M109" s="1172"/>
      <c r="N109" s="1172"/>
      <c r="O109" s="1172"/>
    </row>
    <row r="110" spans="1:15" ht="27.95" customHeight="1" x14ac:dyDescent="0.25">
      <c r="A110" s="876"/>
      <c r="B110" s="1168"/>
      <c r="C110" s="1169" t="s">
        <v>4264</v>
      </c>
      <c r="D110" s="1191">
        <v>302500000</v>
      </c>
      <c r="E110" s="1170">
        <v>2824446537000</v>
      </c>
      <c r="F110" s="1170">
        <f t="shared" si="1"/>
        <v>1.0710062875585596E-2</v>
      </c>
      <c r="G110" s="1171"/>
      <c r="H110" s="1171"/>
      <c r="I110" s="1172"/>
      <c r="J110" s="1172"/>
      <c r="K110" s="1172"/>
      <c r="L110" s="1172"/>
      <c r="M110" s="1172"/>
      <c r="N110" s="1172"/>
      <c r="O110" s="1172"/>
    </row>
    <row r="111" spans="1:15" ht="27.95" customHeight="1" x14ac:dyDescent="0.25">
      <c r="A111" s="876"/>
      <c r="B111" s="1168"/>
      <c r="C111" s="1169" t="s">
        <v>4265</v>
      </c>
      <c r="D111" s="1191">
        <v>1133000000</v>
      </c>
      <c r="E111" s="1170">
        <v>2824446537000</v>
      </c>
      <c r="F111" s="1170">
        <f t="shared" si="1"/>
        <v>4.011405367946605E-2</v>
      </c>
      <c r="G111" s="1171"/>
      <c r="H111" s="1171"/>
      <c r="I111" s="1172"/>
      <c r="J111" s="1172"/>
      <c r="K111" s="1172"/>
      <c r="L111" s="1172"/>
      <c r="M111" s="1172"/>
      <c r="N111" s="1172"/>
      <c r="O111" s="1172"/>
    </row>
    <row r="112" spans="1:15" ht="27.95" customHeight="1" x14ac:dyDescent="0.25">
      <c r="A112" s="876"/>
      <c r="B112" s="1168"/>
      <c r="C112" s="1169" t="s">
        <v>4266</v>
      </c>
      <c r="D112" s="1191">
        <v>3339000000</v>
      </c>
      <c r="E112" s="1170">
        <v>2824446537000</v>
      </c>
      <c r="F112" s="1170">
        <f t="shared" si="1"/>
        <v>0.11821785104654647</v>
      </c>
      <c r="G112" s="1171"/>
      <c r="H112" s="1171"/>
      <c r="I112" s="1172"/>
      <c r="J112" s="1172"/>
      <c r="K112" s="1172"/>
      <c r="L112" s="1172"/>
      <c r="M112" s="1172"/>
      <c r="N112" s="1172"/>
      <c r="O112" s="1172"/>
    </row>
    <row r="113" spans="1:15" ht="27.95" customHeight="1" x14ac:dyDescent="0.25">
      <c r="A113" s="876"/>
      <c r="B113" s="1168"/>
      <c r="C113" s="1169" t="s">
        <v>4267</v>
      </c>
      <c r="D113" s="1191">
        <v>2316250000</v>
      </c>
      <c r="E113" s="1170">
        <v>2824446537000</v>
      </c>
      <c r="F113" s="1170">
        <f t="shared" si="1"/>
        <v>8.2007216977107888E-2</v>
      </c>
      <c r="G113" s="1171"/>
      <c r="H113" s="1171"/>
      <c r="I113" s="1172"/>
      <c r="J113" s="1172"/>
      <c r="K113" s="1172"/>
      <c r="L113" s="1172"/>
      <c r="M113" s="1172"/>
      <c r="N113" s="1172"/>
      <c r="O113" s="1172"/>
    </row>
    <row r="114" spans="1:15" ht="31.5" customHeight="1" x14ac:dyDescent="0.25">
      <c r="A114" s="876"/>
      <c r="B114" s="1168"/>
      <c r="C114" s="1174" t="s">
        <v>4268</v>
      </c>
      <c r="D114" s="1191">
        <v>748750000</v>
      </c>
      <c r="E114" s="1170">
        <v>2824446537000</v>
      </c>
      <c r="F114" s="1170">
        <f t="shared" si="1"/>
        <v>2.6509618439982532E-2</v>
      </c>
      <c r="G114" s="1171"/>
      <c r="H114" s="1171"/>
      <c r="I114" s="1172"/>
      <c r="J114" s="1172"/>
      <c r="K114" s="1172"/>
      <c r="L114" s="1172"/>
      <c r="M114" s="1172"/>
      <c r="N114" s="1172"/>
      <c r="O114" s="1172"/>
    </row>
    <row r="115" spans="1:15" ht="27.95" customHeight="1" x14ac:dyDescent="0.25">
      <c r="A115" s="876"/>
      <c r="B115" s="1168"/>
      <c r="C115" s="1169" t="s">
        <v>4269</v>
      </c>
      <c r="D115" s="1191">
        <v>1006250000</v>
      </c>
      <c r="E115" s="1170">
        <v>2824446537000</v>
      </c>
      <c r="F115" s="1170">
        <f t="shared" si="1"/>
        <v>3.5626448821679362E-2</v>
      </c>
      <c r="G115" s="1171"/>
      <c r="H115" s="1171"/>
      <c r="I115" s="1172"/>
      <c r="J115" s="1172"/>
      <c r="K115" s="1172"/>
      <c r="L115" s="1172"/>
      <c r="M115" s="1172"/>
      <c r="N115" s="1172"/>
      <c r="O115" s="1172"/>
    </row>
    <row r="116" spans="1:15" s="882" customFormat="1" ht="30.75" customHeight="1" x14ac:dyDescent="0.25">
      <c r="A116" s="881"/>
      <c r="B116" s="1159"/>
      <c r="C116" s="1173" t="s">
        <v>4270</v>
      </c>
      <c r="D116" s="1190">
        <v>234400000</v>
      </c>
      <c r="E116" s="1161">
        <v>2824446537000</v>
      </c>
      <c r="F116" s="1161">
        <f t="shared" si="1"/>
        <v>8.2989710348339296E-3</v>
      </c>
      <c r="G116" s="1162"/>
      <c r="H116" s="1162"/>
      <c r="I116" s="1163"/>
      <c r="J116" s="1163"/>
      <c r="K116" s="1163"/>
      <c r="L116" s="1163"/>
      <c r="M116" s="1163"/>
      <c r="N116" s="1163"/>
      <c r="O116" s="1163"/>
    </row>
    <row r="117" spans="1:15" ht="34.5" customHeight="1" x14ac:dyDescent="0.25">
      <c r="A117" s="876"/>
      <c r="B117" s="1168"/>
      <c r="C117" s="1174" t="s">
        <v>4271</v>
      </c>
      <c r="D117" s="1191">
        <v>234400000</v>
      </c>
      <c r="E117" s="1170">
        <v>2824446537000</v>
      </c>
      <c r="F117" s="1170">
        <f t="shared" si="1"/>
        <v>8.2989710348339296E-3</v>
      </c>
      <c r="G117" s="1171"/>
      <c r="H117" s="1171"/>
      <c r="I117" s="1172"/>
      <c r="J117" s="1172"/>
      <c r="K117" s="1172"/>
      <c r="L117" s="1172"/>
      <c r="M117" s="1172"/>
      <c r="N117" s="1172"/>
      <c r="O117" s="1172"/>
    </row>
    <row r="118" spans="1:15" ht="27.95" customHeight="1" x14ac:dyDescent="0.25">
      <c r="A118" s="876"/>
      <c r="B118" s="1168"/>
      <c r="C118" s="1169"/>
      <c r="D118" s="1191"/>
      <c r="E118" s="1170">
        <v>2824446537000</v>
      </c>
      <c r="F118" s="1170">
        <f t="shared" si="1"/>
        <v>0</v>
      </c>
      <c r="G118" s="1171"/>
      <c r="H118" s="1171"/>
      <c r="I118" s="1172"/>
      <c r="J118" s="1172"/>
      <c r="K118" s="1172"/>
      <c r="L118" s="1172"/>
      <c r="M118" s="1172"/>
      <c r="N118" s="1172"/>
      <c r="O118" s="1172"/>
    </row>
    <row r="119" spans="1:15" s="154" customFormat="1" ht="27.95" customHeight="1" x14ac:dyDescent="0.25">
      <c r="A119" s="153"/>
      <c r="B119" s="1159"/>
      <c r="C119" s="1178" t="s">
        <v>348</v>
      </c>
      <c r="D119" s="1193">
        <f>+D120+D124</f>
        <v>47000000000</v>
      </c>
      <c r="E119" s="1161">
        <v>2824446537000</v>
      </c>
      <c r="F119" s="1161">
        <f t="shared" si="1"/>
        <v>1.6640428269504892</v>
      </c>
      <c r="G119" s="1161"/>
      <c r="H119" s="1161"/>
      <c r="I119" s="1166"/>
      <c r="J119" s="1166"/>
      <c r="K119" s="1166"/>
      <c r="L119" s="1166"/>
      <c r="M119" s="1166"/>
      <c r="N119" s="1166"/>
      <c r="O119" s="1166"/>
    </row>
    <row r="120" spans="1:15" ht="32.25" customHeight="1" x14ac:dyDescent="0.25">
      <c r="A120" s="876"/>
      <c r="B120" s="1168"/>
      <c r="C120" s="1173" t="s">
        <v>349</v>
      </c>
      <c r="D120" s="1191">
        <v>10165716250</v>
      </c>
      <c r="E120" s="1170">
        <v>2824446537000</v>
      </c>
      <c r="F120" s="1170">
        <f t="shared" si="1"/>
        <v>0.35991887673673462</v>
      </c>
      <c r="G120" s="1171"/>
      <c r="H120" s="1171"/>
      <c r="I120" s="1172"/>
      <c r="J120" s="1172"/>
      <c r="K120" s="1172"/>
      <c r="L120" s="1172"/>
      <c r="M120" s="1172"/>
      <c r="N120" s="1172"/>
      <c r="O120" s="1172"/>
    </row>
    <row r="121" spans="1:15" ht="27.95" customHeight="1" x14ac:dyDescent="0.25">
      <c r="A121" s="876"/>
      <c r="B121" s="1168"/>
      <c r="C121" s="1169" t="s">
        <v>4155</v>
      </c>
      <c r="D121" s="1191">
        <v>8667278000</v>
      </c>
      <c r="E121" s="1170">
        <v>2824446537000</v>
      </c>
      <c r="F121" s="1170">
        <f t="shared" si="1"/>
        <v>0.30686642095927197</v>
      </c>
      <c r="G121" s="1171"/>
      <c r="H121" s="1171"/>
      <c r="I121" s="1172"/>
      <c r="J121" s="1172"/>
      <c r="K121" s="1172"/>
      <c r="L121" s="1172"/>
      <c r="M121" s="1172"/>
      <c r="N121" s="1172"/>
      <c r="O121" s="1172"/>
    </row>
    <row r="122" spans="1:15" ht="34.5" customHeight="1" x14ac:dyDescent="0.25">
      <c r="A122" s="876"/>
      <c r="B122" s="1168"/>
      <c r="C122" s="1174" t="s">
        <v>4137</v>
      </c>
      <c r="D122" s="1191">
        <v>899600000</v>
      </c>
      <c r="E122" s="1170">
        <v>2824446537000</v>
      </c>
      <c r="F122" s="1170">
        <f t="shared" si="1"/>
        <v>3.1850487811162988E-2</v>
      </c>
      <c r="G122" s="1171"/>
      <c r="H122" s="1171"/>
      <c r="I122" s="1172"/>
      <c r="J122" s="1172"/>
      <c r="K122" s="1172"/>
      <c r="L122" s="1172"/>
      <c r="M122" s="1172"/>
      <c r="N122" s="1172"/>
      <c r="O122" s="1172"/>
    </row>
    <row r="123" spans="1:15" ht="27.95" customHeight="1" x14ac:dyDescent="0.25">
      <c r="A123" s="876"/>
      <c r="B123" s="1168"/>
      <c r="C123" s="1169" t="s">
        <v>4140</v>
      </c>
      <c r="D123" s="1191">
        <v>598838250</v>
      </c>
      <c r="E123" s="1170">
        <v>2824446537000</v>
      </c>
      <c r="F123" s="1170">
        <f t="shared" si="1"/>
        <v>2.1201967966299657E-2</v>
      </c>
      <c r="G123" s="1171"/>
      <c r="H123" s="1171"/>
      <c r="I123" s="1172"/>
      <c r="J123" s="1172"/>
      <c r="K123" s="1172"/>
      <c r="L123" s="1172"/>
      <c r="M123" s="1172"/>
      <c r="N123" s="1172"/>
      <c r="O123" s="1172"/>
    </row>
    <row r="124" spans="1:15" s="882" customFormat="1" ht="27.95" customHeight="1" x14ac:dyDescent="0.25">
      <c r="A124" s="881"/>
      <c r="B124" s="1159"/>
      <c r="C124" s="1167" t="s">
        <v>4144</v>
      </c>
      <c r="D124" s="1190">
        <v>36834283750</v>
      </c>
      <c r="E124" s="1161">
        <v>2824446537000</v>
      </c>
      <c r="F124" s="1161">
        <f t="shared" si="1"/>
        <v>1.3041239502137547</v>
      </c>
      <c r="G124" s="1162"/>
      <c r="H124" s="1162"/>
      <c r="I124" s="1163"/>
      <c r="J124" s="1163"/>
      <c r="K124" s="1163"/>
      <c r="L124" s="1163"/>
      <c r="M124" s="1163"/>
      <c r="N124" s="1163"/>
      <c r="O124" s="1163"/>
    </row>
    <row r="125" spans="1:15" ht="34.5" customHeight="1" x14ac:dyDescent="0.25">
      <c r="A125" s="876"/>
      <c r="B125" s="1168"/>
      <c r="C125" s="1174" t="s">
        <v>4145</v>
      </c>
      <c r="D125" s="1191">
        <v>7040690000</v>
      </c>
      <c r="E125" s="1170">
        <v>2824446537000</v>
      </c>
      <c r="F125" s="1170">
        <f t="shared" si="1"/>
        <v>0.24927680194217111</v>
      </c>
      <c r="G125" s="1171"/>
      <c r="H125" s="1171"/>
      <c r="I125" s="1172"/>
      <c r="J125" s="1172"/>
      <c r="K125" s="1172"/>
      <c r="L125" s="1172"/>
      <c r="M125" s="1172"/>
      <c r="N125" s="1172"/>
      <c r="O125" s="1172"/>
    </row>
    <row r="126" spans="1:15" ht="38.25" customHeight="1" x14ac:dyDescent="0.25">
      <c r="A126" s="876"/>
      <c r="B126" s="1168"/>
      <c r="C126" s="1174" t="s">
        <v>4136</v>
      </c>
      <c r="D126" s="1191">
        <v>1077830000</v>
      </c>
      <c r="E126" s="1170">
        <v>2824446537000</v>
      </c>
      <c r="F126" s="1170">
        <f t="shared" si="1"/>
        <v>3.8160750641958424E-2</v>
      </c>
      <c r="G126" s="1171"/>
      <c r="H126" s="1171"/>
      <c r="I126" s="1172"/>
      <c r="J126" s="1172"/>
      <c r="K126" s="1172"/>
      <c r="L126" s="1172"/>
      <c r="M126" s="1172"/>
      <c r="N126" s="1172"/>
      <c r="O126" s="1172"/>
    </row>
    <row r="127" spans="1:15" ht="27.95" customHeight="1" x14ac:dyDescent="0.25">
      <c r="A127" s="876"/>
      <c r="B127" s="1168"/>
      <c r="C127" s="1169" t="s">
        <v>4272</v>
      </c>
      <c r="D127" s="1191">
        <v>2477180000</v>
      </c>
      <c r="E127" s="1170">
        <v>2824446537000</v>
      </c>
      <c r="F127" s="1170">
        <f t="shared" si="1"/>
        <v>8.7704970426919437E-2</v>
      </c>
      <c r="G127" s="1171"/>
      <c r="H127" s="1171"/>
      <c r="I127" s="1172"/>
      <c r="J127" s="1172"/>
      <c r="K127" s="1172"/>
      <c r="L127" s="1172"/>
      <c r="M127" s="1172"/>
      <c r="N127" s="1172"/>
      <c r="O127" s="1172"/>
    </row>
    <row r="128" spans="1:15" ht="27.95" customHeight="1" x14ac:dyDescent="0.25">
      <c r="A128" s="876"/>
      <c r="B128" s="1168"/>
      <c r="C128" s="1169" t="s">
        <v>4273</v>
      </c>
      <c r="D128" s="1191">
        <v>26238583750</v>
      </c>
      <c r="E128" s="1170">
        <v>2824446537000</v>
      </c>
      <c r="F128" s="1170">
        <f t="shared" si="1"/>
        <v>0.92898142720270571</v>
      </c>
      <c r="G128" s="1171"/>
      <c r="H128" s="1171"/>
      <c r="I128" s="1172"/>
      <c r="J128" s="1172"/>
      <c r="K128" s="1172"/>
      <c r="L128" s="1172"/>
      <c r="M128" s="1172"/>
      <c r="N128" s="1172"/>
      <c r="O128" s="1172"/>
    </row>
    <row r="129" spans="1:15" ht="27.95" customHeight="1" x14ac:dyDescent="0.25">
      <c r="A129" s="876"/>
      <c r="B129" s="1168"/>
      <c r="C129" s="1169"/>
      <c r="D129" s="1191"/>
      <c r="E129" s="1170">
        <v>2824446537000</v>
      </c>
      <c r="F129" s="1170">
        <f t="shared" si="1"/>
        <v>0</v>
      </c>
      <c r="G129" s="1171"/>
      <c r="H129" s="1171"/>
      <c r="I129" s="1172"/>
      <c r="J129" s="1172"/>
      <c r="K129" s="1172"/>
      <c r="L129" s="1172"/>
      <c r="M129" s="1172"/>
      <c r="N129" s="1172"/>
      <c r="O129" s="1172"/>
    </row>
    <row r="130" spans="1:15" s="882" customFormat="1" ht="27.95" customHeight="1" x14ac:dyDescent="0.25">
      <c r="A130" s="881"/>
      <c r="B130" s="1159"/>
      <c r="C130" s="1167" t="s">
        <v>392</v>
      </c>
      <c r="D130" s="1190">
        <f>+D131+D137+D139</f>
        <v>850000000000</v>
      </c>
      <c r="E130" s="1161">
        <v>2824446537000</v>
      </c>
      <c r="F130" s="1161">
        <f t="shared" si="1"/>
        <v>30.094391551232253</v>
      </c>
      <c r="G130" s="1162"/>
      <c r="H130" s="1162"/>
      <c r="I130" s="1163"/>
      <c r="J130" s="1163"/>
      <c r="K130" s="1163"/>
      <c r="L130" s="1163"/>
      <c r="M130" s="1163"/>
      <c r="N130" s="1163"/>
      <c r="O130" s="1163"/>
    </row>
    <row r="131" spans="1:15" ht="27.95" customHeight="1" x14ac:dyDescent="0.25">
      <c r="A131" s="876"/>
      <c r="B131" s="1168"/>
      <c r="C131" s="1167" t="s">
        <v>4146</v>
      </c>
      <c r="D131" s="1191">
        <v>253678303000</v>
      </c>
      <c r="E131" s="1170">
        <v>2824446537000</v>
      </c>
      <c r="F131" s="1170">
        <f t="shared" si="1"/>
        <v>8.9815225629813362</v>
      </c>
      <c r="G131" s="1171"/>
      <c r="H131" s="1171"/>
      <c r="I131" s="1172"/>
      <c r="J131" s="1172"/>
      <c r="K131" s="1172"/>
      <c r="L131" s="1172"/>
      <c r="M131" s="1172"/>
      <c r="N131" s="1172"/>
      <c r="O131" s="1172"/>
    </row>
    <row r="132" spans="1:15" ht="27.95" customHeight="1" x14ac:dyDescent="0.25">
      <c r="A132" s="876"/>
      <c r="B132" s="1168"/>
      <c r="C132" s="1169" t="s">
        <v>4274</v>
      </c>
      <c r="D132" s="1191">
        <v>105576163000</v>
      </c>
      <c r="E132" s="1170">
        <v>2824446537000</v>
      </c>
      <c r="F132" s="1170">
        <f t="shared" si="1"/>
        <v>3.7379416327043757</v>
      </c>
      <c r="G132" s="1171"/>
      <c r="H132" s="1171"/>
      <c r="I132" s="1172"/>
      <c r="J132" s="1172"/>
      <c r="K132" s="1172"/>
      <c r="L132" s="1172"/>
      <c r="M132" s="1172"/>
      <c r="N132" s="1172"/>
      <c r="O132" s="1172"/>
    </row>
    <row r="133" spans="1:15" ht="27.95" customHeight="1" x14ac:dyDescent="0.25">
      <c r="A133" s="876"/>
      <c r="B133" s="1168"/>
      <c r="C133" s="1169" t="s">
        <v>4275</v>
      </c>
      <c r="D133" s="1191">
        <v>18806638000</v>
      </c>
      <c r="E133" s="1170">
        <v>2824446537000</v>
      </c>
      <c r="F133" s="1170">
        <f t="shared" si="1"/>
        <v>0.66585215027562761</v>
      </c>
      <c r="G133" s="1171"/>
      <c r="H133" s="1171"/>
      <c r="I133" s="1172"/>
      <c r="J133" s="1172"/>
      <c r="K133" s="1172"/>
      <c r="L133" s="1172"/>
      <c r="M133" s="1172"/>
      <c r="N133" s="1172"/>
      <c r="O133" s="1172"/>
    </row>
    <row r="134" spans="1:15" s="147" customFormat="1" ht="27.95" customHeight="1" x14ac:dyDescent="0.25">
      <c r="A134" s="145"/>
      <c r="B134" s="1168"/>
      <c r="C134" s="1175" t="s">
        <v>4276</v>
      </c>
      <c r="D134" s="1192">
        <v>88771502000</v>
      </c>
      <c r="E134" s="1170">
        <v>2824446537000</v>
      </c>
      <c r="F134" s="1170">
        <f t="shared" si="1"/>
        <v>3.1429698115047024</v>
      </c>
      <c r="G134" s="1170"/>
      <c r="H134" s="1170"/>
      <c r="I134" s="1176"/>
      <c r="J134" s="1176"/>
      <c r="K134" s="1176"/>
      <c r="L134" s="1176"/>
      <c r="M134" s="1176"/>
      <c r="N134" s="1176"/>
      <c r="O134" s="1176"/>
    </row>
    <row r="135" spans="1:15" ht="27.95" customHeight="1" x14ac:dyDescent="0.25">
      <c r="A135" s="876"/>
      <c r="B135" s="1168"/>
      <c r="C135" s="1169" t="s">
        <v>4277</v>
      </c>
      <c r="D135" s="1191">
        <v>31774000000</v>
      </c>
      <c r="E135" s="1170">
        <v>2824446537000</v>
      </c>
      <c r="F135" s="1170">
        <f t="shared" si="1"/>
        <v>1.1249637613515926</v>
      </c>
      <c r="G135" s="1171"/>
      <c r="H135" s="1171"/>
      <c r="I135" s="1172"/>
      <c r="J135" s="1172"/>
      <c r="K135" s="1172"/>
      <c r="L135" s="1172"/>
      <c r="M135" s="1172"/>
      <c r="N135" s="1172"/>
      <c r="O135" s="1172"/>
    </row>
    <row r="136" spans="1:15" ht="27.95" customHeight="1" x14ac:dyDescent="0.25">
      <c r="A136" s="876"/>
      <c r="B136" s="1168"/>
      <c r="C136" s="1169" t="s">
        <v>4278</v>
      </c>
      <c r="D136" s="1191">
        <v>8750000000</v>
      </c>
      <c r="E136" s="1170">
        <v>2824446537000</v>
      </c>
      <c r="F136" s="1170">
        <f t="shared" si="1"/>
        <v>0.30979520714503794</v>
      </c>
      <c r="G136" s="1171"/>
      <c r="H136" s="1171"/>
      <c r="I136" s="1172"/>
      <c r="J136" s="1172"/>
      <c r="K136" s="1172"/>
      <c r="L136" s="1172"/>
      <c r="M136" s="1172"/>
      <c r="N136" s="1172"/>
      <c r="O136" s="1172"/>
    </row>
    <row r="137" spans="1:15" s="882" customFormat="1" ht="27.95" customHeight="1" x14ac:dyDescent="0.25">
      <c r="A137" s="881"/>
      <c r="B137" s="1159"/>
      <c r="C137" s="1167" t="s">
        <v>4149</v>
      </c>
      <c r="D137" s="1190">
        <v>115524000000</v>
      </c>
      <c r="E137" s="1161">
        <v>2824446537000</v>
      </c>
      <c r="F137" s="1161">
        <f t="shared" si="1"/>
        <v>4.0901464583112412</v>
      </c>
      <c r="G137" s="1162"/>
      <c r="H137" s="1162"/>
      <c r="I137" s="1163"/>
      <c r="J137" s="1163"/>
      <c r="K137" s="1163"/>
      <c r="L137" s="1163"/>
      <c r="M137" s="1163"/>
      <c r="N137" s="1163"/>
      <c r="O137" s="1163"/>
    </row>
    <row r="138" spans="1:15" ht="27.95" customHeight="1" x14ac:dyDescent="0.25">
      <c r="A138" s="876"/>
      <c r="B138" s="1168"/>
      <c r="C138" s="1169" t="s">
        <v>4150</v>
      </c>
      <c r="D138" s="1191">
        <v>115524000000</v>
      </c>
      <c r="E138" s="1170">
        <v>2824446537000</v>
      </c>
      <c r="F138" s="1170">
        <f t="shared" si="1"/>
        <v>4.0901464583112412</v>
      </c>
      <c r="G138" s="1171"/>
      <c r="H138" s="1171"/>
      <c r="I138" s="1172"/>
      <c r="J138" s="1172"/>
      <c r="K138" s="1172"/>
      <c r="L138" s="1172"/>
      <c r="M138" s="1172"/>
      <c r="N138" s="1172"/>
      <c r="O138" s="1172"/>
    </row>
    <row r="139" spans="1:15" s="882" customFormat="1" ht="34.5" customHeight="1" x14ac:dyDescent="0.25">
      <c r="A139" s="881"/>
      <c r="B139" s="1159"/>
      <c r="C139" s="1173" t="s">
        <v>4151</v>
      </c>
      <c r="D139" s="1190">
        <v>480797697000</v>
      </c>
      <c r="E139" s="1161">
        <v>2824446537000</v>
      </c>
      <c r="F139" s="1161">
        <f t="shared" si="1"/>
        <v>17.022722529939678</v>
      </c>
      <c r="G139" s="1162"/>
      <c r="H139" s="1162"/>
      <c r="I139" s="1163"/>
      <c r="J139" s="1163"/>
      <c r="K139" s="1163"/>
      <c r="L139" s="1163"/>
      <c r="M139" s="1163"/>
      <c r="N139" s="1163"/>
      <c r="O139" s="1163"/>
    </row>
    <row r="140" spans="1:15" ht="27.95" customHeight="1" x14ac:dyDescent="0.25">
      <c r="A140" s="876"/>
      <c r="B140" s="1168"/>
      <c r="C140" s="1169" t="s">
        <v>4279</v>
      </c>
      <c r="D140" s="1191">
        <v>116443091000</v>
      </c>
      <c r="E140" s="1170">
        <v>2824446537000</v>
      </c>
      <c r="F140" s="1170">
        <f t="shared" si="1"/>
        <v>4.1226870282232566</v>
      </c>
      <c r="G140" s="1171"/>
      <c r="H140" s="1171"/>
      <c r="I140" s="1172"/>
      <c r="J140" s="1172"/>
      <c r="K140" s="1172"/>
      <c r="L140" s="1172"/>
      <c r="M140" s="1172"/>
      <c r="N140" s="1172"/>
      <c r="O140" s="1172"/>
    </row>
    <row r="141" spans="1:15" ht="27.95" customHeight="1" x14ac:dyDescent="0.25">
      <c r="A141" s="876"/>
      <c r="B141" s="1168"/>
      <c r="C141" s="1169" t="s">
        <v>4280</v>
      </c>
      <c r="D141" s="1191">
        <v>179267187000</v>
      </c>
      <c r="E141" s="1170">
        <v>2824446537000</v>
      </c>
      <c r="F141" s="1170">
        <f t="shared" si="1"/>
        <v>6.3469846092540863</v>
      </c>
      <c r="G141" s="1171"/>
      <c r="H141" s="1171"/>
      <c r="I141" s="1172"/>
      <c r="J141" s="1172"/>
      <c r="K141" s="1172"/>
      <c r="L141" s="1172"/>
      <c r="M141" s="1172"/>
      <c r="N141" s="1172"/>
      <c r="O141" s="1172"/>
    </row>
    <row r="142" spans="1:15" ht="27.95" customHeight="1" x14ac:dyDescent="0.25">
      <c r="A142" s="876"/>
      <c r="B142" s="1168"/>
      <c r="C142" s="1169" t="s">
        <v>4153</v>
      </c>
      <c r="D142" s="1191">
        <v>165063419000</v>
      </c>
      <c r="E142" s="1170">
        <v>2824446537000</v>
      </c>
      <c r="F142" s="1170">
        <f t="shared" ref="F142:F151" si="2">D142/E142*100</f>
        <v>5.8440978378483646</v>
      </c>
      <c r="G142" s="1171"/>
      <c r="H142" s="1171"/>
      <c r="I142" s="1172"/>
      <c r="J142" s="1172"/>
      <c r="K142" s="1172"/>
      <c r="L142" s="1172"/>
      <c r="M142" s="1172"/>
      <c r="N142" s="1172"/>
      <c r="O142" s="1172"/>
    </row>
    <row r="143" spans="1:15" ht="27.95" customHeight="1" x14ac:dyDescent="0.25">
      <c r="A143" s="876"/>
      <c r="B143" s="1168"/>
      <c r="C143" s="1169" t="s">
        <v>4154</v>
      </c>
      <c r="D143" s="1191">
        <v>20024000000</v>
      </c>
      <c r="E143" s="1170">
        <v>2824446537000</v>
      </c>
      <c r="F143" s="1170">
        <f t="shared" si="2"/>
        <v>0.70895305461397018</v>
      </c>
      <c r="G143" s="1171"/>
      <c r="H143" s="1171"/>
      <c r="I143" s="1172"/>
      <c r="J143" s="1172"/>
      <c r="K143" s="1172"/>
      <c r="L143" s="1172"/>
      <c r="M143" s="1172"/>
      <c r="N143" s="1172"/>
      <c r="O143" s="1172"/>
    </row>
    <row r="144" spans="1:15" ht="27.95" customHeight="1" x14ac:dyDescent="0.25">
      <c r="A144" s="876"/>
      <c r="B144" s="1168"/>
      <c r="C144" s="1169"/>
      <c r="D144" s="1191"/>
      <c r="E144" s="1170"/>
      <c r="F144" s="1170"/>
      <c r="G144" s="1171"/>
      <c r="H144" s="1171"/>
      <c r="I144" s="1172"/>
      <c r="J144" s="1172"/>
      <c r="K144" s="1172"/>
      <c r="L144" s="1172"/>
      <c r="M144" s="1172"/>
      <c r="N144" s="1172"/>
      <c r="O144" s="1172"/>
    </row>
    <row r="145" spans="1:15" s="154" customFormat="1" ht="27.95" customHeight="1" x14ac:dyDescent="0.25">
      <c r="A145" s="153"/>
      <c r="B145" s="1159"/>
      <c r="C145" s="1178" t="s">
        <v>630</v>
      </c>
      <c r="D145" s="1193">
        <f>+D146</f>
        <v>1000000000</v>
      </c>
      <c r="E145" s="1161">
        <v>2824446537000</v>
      </c>
      <c r="F145" s="1161">
        <f t="shared" si="2"/>
        <v>3.5405166530861475E-2</v>
      </c>
      <c r="G145" s="1161"/>
      <c r="H145" s="1161"/>
      <c r="I145" s="1166"/>
      <c r="J145" s="1166"/>
      <c r="K145" s="1166"/>
      <c r="L145" s="1166"/>
      <c r="M145" s="1166"/>
      <c r="N145" s="1166"/>
      <c r="O145" s="1166"/>
    </row>
    <row r="146" spans="1:15" s="882" customFormat="1" ht="38.25" customHeight="1" x14ac:dyDescent="0.25">
      <c r="A146" s="881"/>
      <c r="B146" s="1159"/>
      <c r="C146" s="1173" t="s">
        <v>640</v>
      </c>
      <c r="D146" s="1190">
        <v>1000000000</v>
      </c>
      <c r="E146" s="1161">
        <v>2824446537000</v>
      </c>
      <c r="F146" s="1161">
        <f t="shared" si="2"/>
        <v>3.5405166530861475E-2</v>
      </c>
      <c r="G146" s="1162"/>
      <c r="H146" s="1162"/>
      <c r="I146" s="1163"/>
      <c r="J146" s="1163"/>
      <c r="K146" s="1163"/>
      <c r="L146" s="1163"/>
      <c r="M146" s="1163"/>
      <c r="N146" s="1163"/>
      <c r="O146" s="1163"/>
    </row>
    <row r="147" spans="1:15" ht="27.95" customHeight="1" x14ac:dyDescent="0.25">
      <c r="A147" s="876"/>
      <c r="B147" s="1168"/>
      <c r="C147" s="1169" t="s">
        <v>4176</v>
      </c>
      <c r="D147" s="1191">
        <v>1000000000</v>
      </c>
      <c r="E147" s="1170">
        <v>2824446537000</v>
      </c>
      <c r="F147" s="1170">
        <f t="shared" si="2"/>
        <v>3.5405166530861475E-2</v>
      </c>
      <c r="G147" s="1171"/>
      <c r="H147" s="1171"/>
      <c r="I147" s="1172"/>
      <c r="J147" s="1172"/>
      <c r="K147" s="1172"/>
      <c r="L147" s="1172"/>
      <c r="M147" s="1172"/>
      <c r="N147" s="1172"/>
      <c r="O147" s="1172"/>
    </row>
    <row r="148" spans="1:15" ht="27.95" customHeight="1" x14ac:dyDescent="0.25">
      <c r="A148" s="876"/>
      <c r="B148" s="1168"/>
      <c r="C148" s="1169"/>
      <c r="D148" s="1191"/>
      <c r="E148" s="1170"/>
      <c r="F148" s="1170"/>
      <c r="G148" s="1171"/>
      <c r="H148" s="1171"/>
      <c r="I148" s="1172"/>
      <c r="J148" s="1172"/>
      <c r="K148" s="1172"/>
      <c r="L148" s="1172"/>
      <c r="M148" s="1172"/>
      <c r="N148" s="1172"/>
      <c r="O148" s="1172"/>
    </row>
    <row r="149" spans="1:15" s="882" customFormat="1" ht="27.95" customHeight="1" x14ac:dyDescent="0.25">
      <c r="A149" s="881"/>
      <c r="B149" s="1159"/>
      <c r="C149" s="1167" t="s">
        <v>642</v>
      </c>
      <c r="D149" s="1190">
        <f>+D150</f>
        <v>102000000000</v>
      </c>
      <c r="E149" s="1161">
        <v>2824446537000</v>
      </c>
      <c r="F149" s="1161">
        <f t="shared" si="2"/>
        <v>3.6113269861478705</v>
      </c>
      <c r="G149" s="1162"/>
      <c r="H149" s="1162"/>
      <c r="I149" s="1163"/>
      <c r="J149" s="1163"/>
      <c r="K149" s="1163"/>
      <c r="L149" s="1163"/>
      <c r="M149" s="1163"/>
      <c r="N149" s="1163"/>
      <c r="O149" s="1163"/>
    </row>
    <row r="150" spans="1:15" s="882" customFormat="1" ht="27.95" customHeight="1" x14ac:dyDescent="0.25">
      <c r="A150" s="881"/>
      <c r="B150" s="1159"/>
      <c r="C150" s="1167" t="s">
        <v>2693</v>
      </c>
      <c r="D150" s="1190">
        <v>102000000000</v>
      </c>
      <c r="E150" s="1161">
        <v>2824446537000</v>
      </c>
      <c r="F150" s="1161">
        <f t="shared" si="2"/>
        <v>3.6113269861478705</v>
      </c>
      <c r="G150" s="1162"/>
      <c r="H150" s="1162"/>
      <c r="I150" s="1163"/>
      <c r="J150" s="1163"/>
      <c r="K150" s="1163"/>
      <c r="L150" s="1163"/>
      <c r="M150" s="1163"/>
      <c r="N150" s="1163"/>
      <c r="O150" s="1163"/>
    </row>
    <row r="151" spans="1:15" ht="27.95" customHeight="1" thickBot="1" x14ac:dyDescent="0.3">
      <c r="A151" s="876"/>
      <c r="B151" s="1168"/>
      <c r="C151" s="1179" t="s">
        <v>4281</v>
      </c>
      <c r="D151" s="1194">
        <v>102000000000</v>
      </c>
      <c r="E151" s="1170">
        <v>2824446537000</v>
      </c>
      <c r="F151" s="1170">
        <f t="shared" si="2"/>
        <v>3.6113269861478705</v>
      </c>
      <c r="G151" s="1171"/>
      <c r="H151" s="1171"/>
      <c r="I151" s="1172"/>
      <c r="J151" s="1172"/>
      <c r="K151" s="1172"/>
      <c r="L151" s="1172"/>
      <c r="M151" s="1172"/>
      <c r="N151" s="1172"/>
      <c r="O151" s="1172"/>
    </row>
    <row r="152" spans="1:15" ht="27.95" customHeight="1" thickTop="1" thickBot="1" x14ac:dyDescent="0.3">
      <c r="A152" s="876"/>
      <c r="B152" s="1180"/>
      <c r="C152" s="1181" t="s">
        <v>4180</v>
      </c>
      <c r="D152" s="1195">
        <f>+D14+D84+D119+D130+D145+D149</f>
        <v>2824446537000</v>
      </c>
      <c r="E152" s="1182"/>
      <c r="F152" s="1183">
        <f>D152/D152*100</f>
        <v>100</v>
      </c>
      <c r="G152" s="1184"/>
      <c r="H152" s="1184"/>
      <c r="I152" s="1184"/>
      <c r="J152" s="1184"/>
      <c r="K152" s="1184"/>
      <c r="L152" s="1184"/>
      <c r="M152" s="1184"/>
      <c r="N152" s="1184"/>
      <c r="O152" s="1184"/>
    </row>
    <row r="153" spans="1:15" ht="36" customHeight="1" thickTop="1" x14ac:dyDescent="0.25">
      <c r="A153" s="883"/>
      <c r="B153" s="884"/>
      <c r="C153" s="876"/>
      <c r="D153" s="1034"/>
      <c r="E153" s="885"/>
      <c r="F153" s="9"/>
      <c r="G153" s="876"/>
      <c r="H153" s="876"/>
      <c r="I153" s="876"/>
      <c r="J153" s="876"/>
      <c r="K153" s="876"/>
      <c r="L153" s="876"/>
      <c r="M153" s="876"/>
      <c r="N153" s="876"/>
      <c r="O153" s="883"/>
    </row>
    <row r="154" spans="1:15" ht="36" customHeight="1" x14ac:dyDescent="0.25">
      <c r="B154" s="886"/>
      <c r="C154" s="889"/>
      <c r="E154" s="887"/>
      <c r="F154" s="888"/>
    </row>
    <row r="155" spans="1:15" ht="36" customHeight="1" x14ac:dyDescent="0.25">
      <c r="B155" s="886"/>
      <c r="C155" s="1368"/>
      <c r="D155" s="1368"/>
      <c r="E155" s="889"/>
      <c r="F155" s="888"/>
    </row>
    <row r="156" spans="1:15" ht="36" customHeight="1" x14ac:dyDescent="0.25">
      <c r="B156" s="886"/>
      <c r="C156" s="1368"/>
      <c r="D156" s="1368"/>
      <c r="E156" s="889"/>
      <c r="F156" s="888"/>
    </row>
    <row r="157" spans="1:15" ht="36" customHeight="1" x14ac:dyDescent="0.25">
      <c r="B157" s="886"/>
      <c r="C157" s="1368"/>
      <c r="D157" s="1368"/>
      <c r="E157" s="889"/>
      <c r="F157" s="888"/>
    </row>
    <row r="159" spans="1:15" ht="36" customHeight="1" x14ac:dyDescent="0.25">
      <c r="B159" s="877"/>
      <c r="C159" s="1369"/>
      <c r="D159" s="1369"/>
      <c r="E159" s="890"/>
      <c r="F159" s="891"/>
    </row>
  </sheetData>
  <mergeCells count="16">
    <mergeCell ref="C155:D155"/>
    <mergeCell ref="C156:D156"/>
    <mergeCell ref="C157:D157"/>
    <mergeCell ref="C159:D159"/>
    <mergeCell ref="B9:B10"/>
    <mergeCell ref="C9:C10"/>
    <mergeCell ref="D9:F9"/>
    <mergeCell ref="G9:J9"/>
    <mergeCell ref="K9:N9"/>
    <mergeCell ref="O9:O10"/>
    <mergeCell ref="B1:O1"/>
    <mergeCell ref="B2:O2"/>
    <mergeCell ref="B3:O3"/>
    <mergeCell ref="B4:O4"/>
    <mergeCell ref="B7:C7"/>
    <mergeCell ref="G7:K7"/>
  </mergeCells>
  <printOptions horizontalCentered="1"/>
  <pageMargins left="0.59055118110236227" right="0" top="0" bottom="0" header="0" footer="0"/>
  <pageSetup paperSize="9" scale="80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62"/>
  <sheetViews>
    <sheetView topLeftCell="E48" zoomScale="145" zoomScaleNormal="145" workbookViewId="0">
      <selection activeCell="I55" sqref="I55"/>
    </sheetView>
  </sheetViews>
  <sheetFormatPr defaultRowHeight="15" x14ac:dyDescent="0.25"/>
  <cols>
    <col min="3" max="3" width="41.28515625" style="960" customWidth="1"/>
    <col min="7" max="7" width="41.85546875" customWidth="1"/>
    <col min="8" max="8" width="22.42578125" style="1035" customWidth="1"/>
    <col min="9" max="9" width="21.85546875" customWidth="1"/>
    <col min="10" max="10" width="16" bestFit="1" customWidth="1"/>
  </cols>
  <sheetData>
    <row r="2" spans="3:8" ht="28.5" customHeight="1" x14ac:dyDescent="0.25">
      <c r="C2" s="196" t="s">
        <v>30</v>
      </c>
    </row>
    <row r="3" spans="3:8" ht="28.5" customHeight="1" x14ac:dyDescent="0.25">
      <c r="C3" s="196" t="s">
        <v>32</v>
      </c>
    </row>
    <row r="4" spans="3:8" ht="28.5" customHeight="1" x14ac:dyDescent="0.25">
      <c r="C4" s="32" t="s">
        <v>33</v>
      </c>
    </row>
    <row r="5" spans="3:8" ht="28.5" customHeight="1" x14ac:dyDescent="0.25">
      <c r="C5" s="32" t="s">
        <v>34</v>
      </c>
    </row>
    <row r="6" spans="3:8" ht="28.5" customHeight="1" x14ac:dyDescent="0.25">
      <c r="C6" s="32" t="s">
        <v>35</v>
      </c>
    </row>
    <row r="7" spans="3:8" ht="28.5" customHeight="1" x14ac:dyDescent="0.25">
      <c r="C7" s="32" t="s">
        <v>36</v>
      </c>
      <c r="H7" s="1035">
        <v>1557405258400</v>
      </c>
    </row>
    <row r="8" spans="3:8" ht="28.5" customHeight="1" x14ac:dyDescent="0.25">
      <c r="C8" s="32" t="s">
        <v>37</v>
      </c>
      <c r="H8" s="1035">
        <v>389351314600</v>
      </c>
    </row>
    <row r="9" spans="3:8" ht="28.5" customHeight="1" x14ac:dyDescent="0.25">
      <c r="C9" s="32" t="s">
        <v>38</v>
      </c>
      <c r="H9" s="1035">
        <f>SUM(H7:H8)</f>
        <v>1946756573000</v>
      </c>
    </row>
    <row r="10" spans="3:8" ht="28.5" customHeight="1" x14ac:dyDescent="0.25">
      <c r="C10" s="32" t="s">
        <v>39</v>
      </c>
    </row>
    <row r="11" spans="3:8" ht="28.5" customHeight="1" x14ac:dyDescent="0.25">
      <c r="C11" s="32" t="s">
        <v>40</v>
      </c>
    </row>
    <row r="12" spans="3:8" ht="28.5" customHeight="1" x14ac:dyDescent="0.25">
      <c r="C12" s="32" t="s">
        <v>41</v>
      </c>
    </row>
    <row r="13" spans="3:8" ht="28.5" customHeight="1" x14ac:dyDescent="0.25">
      <c r="C13" s="32" t="s">
        <v>42</v>
      </c>
    </row>
    <row r="14" spans="3:8" ht="28.5" customHeight="1" x14ac:dyDescent="0.25">
      <c r="C14" s="32" t="s">
        <v>43</v>
      </c>
    </row>
    <row r="15" spans="3:8" ht="28.5" customHeight="1" x14ac:dyDescent="0.25">
      <c r="C15" s="32" t="s">
        <v>44</v>
      </c>
    </row>
    <row r="16" spans="3:8" ht="28.5" customHeight="1" x14ac:dyDescent="0.25">
      <c r="C16" s="32" t="s">
        <v>45</v>
      </c>
    </row>
    <row r="17" spans="3:3" ht="28.5" customHeight="1" x14ac:dyDescent="0.25">
      <c r="C17" s="32" t="s">
        <v>46</v>
      </c>
    </row>
    <row r="18" spans="3:3" ht="28.5" customHeight="1" x14ac:dyDescent="0.25">
      <c r="C18" s="32" t="s">
        <v>47</v>
      </c>
    </row>
    <row r="19" spans="3:3" ht="28.5" customHeight="1" x14ac:dyDescent="0.25">
      <c r="C19" s="32" t="s">
        <v>48</v>
      </c>
    </row>
    <row r="20" spans="3:3" ht="28.5" customHeight="1" x14ac:dyDescent="0.25">
      <c r="C20" s="32" t="s">
        <v>49</v>
      </c>
    </row>
    <row r="21" spans="3:3" ht="28.5" customHeight="1" x14ac:dyDescent="0.25">
      <c r="C21" s="32" t="s">
        <v>50</v>
      </c>
    </row>
    <row r="22" spans="3:3" ht="28.5" customHeight="1" x14ac:dyDescent="0.25">
      <c r="C22" s="958" t="s">
        <v>51</v>
      </c>
    </row>
    <row r="23" spans="3:3" ht="28.5" customHeight="1" x14ac:dyDescent="0.25">
      <c r="C23" s="32" t="s">
        <v>52</v>
      </c>
    </row>
    <row r="24" spans="3:3" ht="28.5" customHeight="1" x14ac:dyDescent="0.25">
      <c r="C24" s="959" t="s">
        <v>53</v>
      </c>
    </row>
    <row r="25" spans="3:3" ht="28.5" customHeight="1" x14ac:dyDescent="0.25">
      <c r="C25" s="32" t="s">
        <v>54</v>
      </c>
    </row>
    <row r="26" spans="3:3" ht="28.5" customHeight="1" x14ac:dyDescent="0.25">
      <c r="C26" s="32" t="s">
        <v>55</v>
      </c>
    </row>
    <row r="27" spans="3:3" ht="28.5" customHeight="1" x14ac:dyDescent="0.25">
      <c r="C27" s="32" t="s">
        <v>56</v>
      </c>
    </row>
    <row r="28" spans="3:3" ht="28.5" customHeight="1" x14ac:dyDescent="0.25">
      <c r="C28" s="32" t="s">
        <v>57</v>
      </c>
    </row>
    <row r="29" spans="3:3" ht="28.5" customHeight="1" x14ac:dyDescent="0.25">
      <c r="C29" s="32" t="s">
        <v>58</v>
      </c>
    </row>
    <row r="30" spans="3:3" ht="28.5" customHeight="1" x14ac:dyDescent="0.25">
      <c r="C30" s="32" t="s">
        <v>59</v>
      </c>
    </row>
    <row r="31" spans="3:3" ht="28.5" customHeight="1" x14ac:dyDescent="0.25">
      <c r="C31" s="32" t="s">
        <v>60</v>
      </c>
    </row>
    <row r="32" spans="3:3" ht="28.5" customHeight="1" x14ac:dyDescent="0.25">
      <c r="C32" s="32" t="s">
        <v>61</v>
      </c>
    </row>
    <row r="41" spans="3:10" s="1030" customFormat="1" ht="30" x14ac:dyDescent="0.25">
      <c r="C41" s="1036"/>
      <c r="G41" s="1052" t="s">
        <v>4540</v>
      </c>
      <c r="H41" s="1046">
        <f>+H42+H43+H44+H45+H46+H47+H48+H49+H50</f>
        <v>3869954897490</v>
      </c>
    </row>
    <row r="42" spans="3:10" ht="30" x14ac:dyDescent="0.25">
      <c r="G42" s="1047" t="s">
        <v>4526</v>
      </c>
      <c r="H42" s="1048">
        <v>510880370590</v>
      </c>
    </row>
    <row r="43" spans="3:10" x14ac:dyDescent="0.25">
      <c r="G43" s="1045" t="s">
        <v>4527</v>
      </c>
      <c r="H43" s="1048">
        <v>724991000000</v>
      </c>
    </row>
    <row r="44" spans="3:10" x14ac:dyDescent="0.25">
      <c r="G44" s="1045" t="s">
        <v>4528</v>
      </c>
      <c r="H44" s="1048">
        <v>60229000000</v>
      </c>
    </row>
    <row r="45" spans="3:10" x14ac:dyDescent="0.25">
      <c r="G45" s="1045" t="s">
        <v>4529</v>
      </c>
      <c r="H45" s="1048">
        <v>100844000000</v>
      </c>
    </row>
    <row r="46" spans="3:10" x14ac:dyDescent="0.25">
      <c r="G46" s="1045" t="s">
        <v>4530</v>
      </c>
      <c r="H46" s="1048">
        <v>163303000000</v>
      </c>
    </row>
    <row r="47" spans="3:10" x14ac:dyDescent="0.25">
      <c r="G47" s="1045" t="s">
        <v>4534</v>
      </c>
      <c r="H47" s="1048">
        <v>70200000000</v>
      </c>
    </row>
    <row r="48" spans="3:10" x14ac:dyDescent="0.25">
      <c r="G48" s="1045" t="s">
        <v>4531</v>
      </c>
      <c r="H48" s="1049">
        <v>915606526900</v>
      </c>
      <c r="I48" s="1044"/>
      <c r="J48" s="1038"/>
    </row>
    <row r="49" spans="3:9" x14ac:dyDescent="0.25">
      <c r="G49" s="1045" t="s">
        <v>4532</v>
      </c>
      <c r="H49" s="1048">
        <v>1059901000000</v>
      </c>
    </row>
    <row r="50" spans="3:9" x14ac:dyDescent="0.25">
      <c r="G50" s="1045" t="s">
        <v>4533</v>
      </c>
      <c r="H50" s="1048">
        <v>264000000000</v>
      </c>
      <c r="I50" s="1042">
        <f>SUM(H42:H50)</f>
        <v>3869954897490</v>
      </c>
    </row>
    <row r="51" spans="3:9" s="1030" customFormat="1" x14ac:dyDescent="0.25">
      <c r="C51" s="1036"/>
      <c r="G51" s="1050" t="s">
        <v>4537</v>
      </c>
      <c r="H51" s="1051">
        <f>SUM(H42:H50)</f>
        <v>3869954897490</v>
      </c>
    </row>
    <row r="53" spans="3:9" x14ac:dyDescent="0.25">
      <c r="G53" s="1040" t="s">
        <v>4536</v>
      </c>
      <c r="H53" s="1041">
        <v>1557405258400</v>
      </c>
    </row>
    <row r="54" spans="3:9" x14ac:dyDescent="0.25">
      <c r="G54" s="1040" t="s">
        <v>4535</v>
      </c>
      <c r="H54" s="1041">
        <v>389351314600</v>
      </c>
    </row>
    <row r="55" spans="3:9" s="1030" customFormat="1" x14ac:dyDescent="0.25">
      <c r="C55" s="1036"/>
      <c r="G55" s="1040" t="s">
        <v>4538</v>
      </c>
      <c r="H55" s="1041">
        <v>1946756573000</v>
      </c>
      <c r="I55" s="1043">
        <f>+H55+I50</f>
        <v>5816711470490</v>
      </c>
    </row>
    <row r="57" spans="3:9" s="1030" customFormat="1" x14ac:dyDescent="0.25">
      <c r="C57" s="1036"/>
      <c r="G57" s="1030" t="s">
        <v>4539</v>
      </c>
      <c r="H57" s="1039">
        <v>3861473585000</v>
      </c>
      <c r="I57" s="1043">
        <f>+I55-H61</f>
        <v>8481312490</v>
      </c>
    </row>
    <row r="58" spans="3:9" s="1030" customFormat="1" x14ac:dyDescent="0.25">
      <c r="C58" s="1036"/>
      <c r="H58" s="1039">
        <f>+H51-H57</f>
        <v>8481312490</v>
      </c>
    </row>
    <row r="60" spans="3:9" x14ac:dyDescent="0.25">
      <c r="G60" t="s">
        <v>4541</v>
      </c>
      <c r="H60" s="1035">
        <f>+H51+H55</f>
        <v>5816711470490</v>
      </c>
    </row>
    <row r="61" spans="3:9" x14ac:dyDescent="0.25">
      <c r="G61" t="s">
        <v>4542</v>
      </c>
      <c r="H61" s="1035">
        <v>5808230158000</v>
      </c>
    </row>
    <row r="62" spans="3:9" x14ac:dyDescent="0.25">
      <c r="G62" t="s">
        <v>4543</v>
      </c>
      <c r="H62" s="1035">
        <f>+H60-H61</f>
        <v>8481312490</v>
      </c>
    </row>
  </sheetData>
  <pageMargins left="0.7" right="0.7" top="0.75" bottom="0.75" header="0.3" footer="0.3"/>
  <pageSetup paperSize="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15</vt:i4>
      </vt:variant>
    </vt:vector>
  </HeadingPairs>
  <TitlesOfParts>
    <vt:vector size="24" baseType="lpstr">
      <vt:lpstr>A.1</vt:lpstr>
      <vt:lpstr>A.2</vt:lpstr>
      <vt:lpstr>A.3</vt:lpstr>
      <vt:lpstr>A.4</vt:lpstr>
      <vt:lpstr>A.5</vt:lpstr>
      <vt:lpstr>A.7</vt:lpstr>
      <vt:lpstr>A.9</vt:lpstr>
      <vt:lpstr>A.10 </vt:lpstr>
      <vt:lpstr>Sheet1</vt:lpstr>
      <vt:lpstr>A.1!Print_Area</vt:lpstr>
      <vt:lpstr>'A.10 '!Print_Area</vt:lpstr>
      <vt:lpstr>A.2!Print_Area</vt:lpstr>
      <vt:lpstr>A.4!Print_Area</vt:lpstr>
      <vt:lpstr>A.5!Print_Area</vt:lpstr>
      <vt:lpstr>A.7!Print_Area</vt:lpstr>
      <vt:lpstr>A.9!Print_Area</vt:lpstr>
      <vt:lpstr>A.1!Print_Titles</vt:lpstr>
      <vt:lpstr>'A.10 '!Print_Titles</vt:lpstr>
      <vt:lpstr>A.2!Print_Titles</vt:lpstr>
      <vt:lpstr>A.3!Print_Titles</vt:lpstr>
      <vt:lpstr>A.4!Print_Titles</vt:lpstr>
      <vt:lpstr>A.5!Print_Titles</vt:lpstr>
      <vt:lpstr>A.7!Print_Titles</vt:lpstr>
      <vt:lpstr>A.9!Print_Titles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cp:lastPrinted>2019-10-11T03:29:29Z</cp:lastPrinted>
  <dcterms:created xsi:type="dcterms:W3CDTF">2019-04-21T08:02:44Z</dcterms:created>
  <dcterms:modified xsi:type="dcterms:W3CDTF">2020-09-28T02:16:06Z</dcterms:modified>
</cp:coreProperties>
</file>